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" sheetId="7" r:id="rId7"/>
    <sheet name="2018" sheetId="8" r:id="rId8"/>
  </sheets>
  <definedNames/>
  <calcPr fullCalcOnLoad="1"/>
</workbook>
</file>

<file path=xl/sharedStrings.xml><?xml version="1.0" encoding="utf-8"?>
<sst xmlns="http://schemas.openxmlformats.org/spreadsheetml/2006/main" count="230" uniqueCount="39">
  <si>
    <t>Финансирование ОУ</t>
  </si>
  <si>
    <t>Общеобразовательные учреждения</t>
  </si>
  <si>
    <t>Дошкольные образовательные учреждения</t>
  </si>
  <si>
    <t>Учреждения дополнительного образования</t>
  </si>
  <si>
    <t>ВСЕГО</t>
  </si>
  <si>
    <t>Федеральный бюджет</t>
  </si>
  <si>
    <t>Региональный бюджет</t>
  </si>
  <si>
    <t>Муниципальный бюджет</t>
  </si>
  <si>
    <t>По направлениям затрат:</t>
  </si>
  <si>
    <t>Капитальные ремонты</t>
  </si>
  <si>
    <t>Обеспечение пожарной безопасности</t>
  </si>
  <si>
    <t>Антитеррористические мероприятия</t>
  </si>
  <si>
    <t>Обеспечение санитарно-эпидемиологического состояния</t>
  </si>
  <si>
    <t>Учебное оборудование</t>
  </si>
  <si>
    <t>Иные мероприятия</t>
  </si>
  <si>
    <t>план</t>
  </si>
  <si>
    <t>факт</t>
  </si>
  <si>
    <t>Всего</t>
  </si>
  <si>
    <t>Технологическое оборудование</t>
  </si>
  <si>
    <t>Руководитель МСБУ "МЦБ"                                                                                      Н.Л.Кирпиченко</t>
  </si>
  <si>
    <t>Выделено на подготовку образовательных учреждений к новому учебному году 2011 год</t>
  </si>
  <si>
    <t>исп. Гурманчук И.В.</t>
  </si>
  <si>
    <t>Выделено на подготовку образовательных учреждений к новому учебному году 2012 год</t>
  </si>
  <si>
    <t>Капитальные, текущие ремонты</t>
  </si>
  <si>
    <t xml:space="preserve"> </t>
  </si>
  <si>
    <t>Зам.руководителя МСКУ "МЦБ"                                                                                      Т.В.Чесалина</t>
  </si>
  <si>
    <t>исп. Чесалина Т.В.</t>
  </si>
  <si>
    <t>Выделено на подготовку образовательных учреждений к новому учебному году 2013 год</t>
  </si>
  <si>
    <t>Зам.руководителя МСКУ "МЦБ"                                                                                      В.А. Бихерт</t>
  </si>
  <si>
    <t>исп. Бихерт В.А.</t>
  </si>
  <si>
    <t>т.3-16-33</t>
  </si>
  <si>
    <t>Зам.руководителя МСКУ "МЦБ"                                                                                      Т.Н.Студеникина</t>
  </si>
  <si>
    <t>исп. Студеникина Т.Н.</t>
  </si>
  <si>
    <t>Выделено на подготовку образовательных учреждений к новому учебному году 2014 год</t>
  </si>
  <si>
    <t>Выделено на подготовку образовательных учреждений к новому учебному году 2015 год</t>
  </si>
  <si>
    <t>Выделено на подготовку образовательных учреждений к новому учебному году 2016 год</t>
  </si>
  <si>
    <t>Выделено на подготовку образовательных учреждений к новому учебному году 2017 год</t>
  </si>
  <si>
    <t>тел.8(39144)3-16-33</t>
  </si>
  <si>
    <t>Выделено на подготовку образовательных учреждений к новому учебному году 2018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</si>
</sst>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right"/>
    </xf>
    <xf numFmtId="4" fontId="3" fillId="4" borderId="15" xfId="0" applyNumberFormat="1" applyFont="1" applyFill="1" applyBorder="1" applyAlignment="1">
      <alignment/>
    </xf>
    <xf numFmtId="4" fontId="3" fillId="4" borderId="16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2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4" fontId="3" fillId="0" borderId="17" xfId="0" applyNumberFormat="1" applyFont="1" applyBorder="1" applyAlignment="1">
      <alignment/>
    </xf>
    <xf numFmtId="0" fontId="2" fillId="0" borderId="17" xfId="0" applyFont="1" applyBorder="1" applyAlignment="1">
      <alignment wrapText="1"/>
    </xf>
    <xf numFmtId="4" fontId="3" fillId="0" borderId="17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33" borderId="17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33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33" borderId="22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33" borderId="27" xfId="0" applyFont="1" applyFill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17" xfId="0" applyFont="1" applyFill="1" applyBorder="1" applyAlignment="1">
      <alignment/>
    </xf>
    <xf numFmtId="0" fontId="2" fillId="0" borderId="28" xfId="0" applyFont="1" applyBorder="1" applyAlignment="1">
      <alignment wrapText="1"/>
    </xf>
    <xf numFmtId="0" fontId="2" fillId="33" borderId="29" xfId="0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wrapText="1"/>
    </xf>
    <xf numFmtId="0" fontId="2" fillId="33" borderId="31" xfId="0" applyFont="1" applyFill="1" applyBorder="1" applyAlignment="1">
      <alignment/>
    </xf>
    <xf numFmtId="0" fontId="2" fillId="0" borderId="31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26.7109375" style="1" customWidth="1"/>
    <col min="2" max="2" width="13.7109375" style="1" customWidth="1"/>
    <col min="3" max="3" width="12.57421875" style="1" customWidth="1"/>
    <col min="4" max="4" width="13.00390625" style="1" customWidth="1"/>
    <col min="5" max="5" width="12.140625" style="1" customWidth="1"/>
    <col min="6" max="6" width="12.421875" style="1" customWidth="1"/>
    <col min="7" max="7" width="13.140625" style="1" customWidth="1"/>
    <col min="8" max="8" width="11.140625" style="1" customWidth="1"/>
    <col min="9" max="9" width="11.28125" style="1" customWidth="1"/>
    <col min="10" max="16384" width="9.140625" style="1" customWidth="1"/>
  </cols>
  <sheetData>
    <row r="2" spans="1:9" ht="18.75">
      <c r="A2" s="52" t="s">
        <v>0</v>
      </c>
      <c r="B2" s="52"/>
      <c r="C2" s="52"/>
      <c r="D2" s="52"/>
      <c r="E2" s="52"/>
      <c r="F2" s="52"/>
      <c r="G2" s="52"/>
      <c r="H2" s="52"/>
      <c r="I2" s="52"/>
    </row>
    <row r="3" spans="1:9" ht="18.75">
      <c r="A3" s="52" t="s">
        <v>20</v>
      </c>
      <c r="B3" s="52"/>
      <c r="C3" s="52"/>
      <c r="D3" s="52"/>
      <c r="E3" s="52"/>
      <c r="F3" s="52"/>
      <c r="G3" s="52"/>
      <c r="H3" s="52"/>
      <c r="I3" s="52"/>
    </row>
    <row r="4" ht="13.5" thickBot="1"/>
    <row r="5" spans="1:9" ht="39" customHeight="1" thickBot="1">
      <c r="A5" s="2"/>
      <c r="B5" s="53" t="s">
        <v>1</v>
      </c>
      <c r="C5" s="54"/>
      <c r="D5" s="55" t="s">
        <v>2</v>
      </c>
      <c r="E5" s="56"/>
      <c r="F5" s="53" t="s">
        <v>3</v>
      </c>
      <c r="G5" s="54"/>
      <c r="H5" s="57" t="s">
        <v>17</v>
      </c>
      <c r="I5" s="58"/>
    </row>
    <row r="6" spans="1:9" ht="20.25" customHeight="1" thickBot="1">
      <c r="A6" s="2"/>
      <c r="B6" s="3" t="s">
        <v>15</v>
      </c>
      <c r="C6" s="4" t="s">
        <v>16</v>
      </c>
      <c r="D6" s="3" t="s">
        <v>15</v>
      </c>
      <c r="E6" s="4" t="s">
        <v>16</v>
      </c>
      <c r="F6" s="3" t="s">
        <v>15</v>
      </c>
      <c r="G6" s="4" t="s">
        <v>16</v>
      </c>
      <c r="H6" s="3" t="s">
        <v>15</v>
      </c>
      <c r="I6" s="5" t="s">
        <v>16</v>
      </c>
    </row>
    <row r="7" spans="1:9" ht="13.5" thickBot="1">
      <c r="A7" s="25" t="s">
        <v>4</v>
      </c>
      <c r="B7" s="26">
        <f aca="true" t="shared" si="0" ref="B7:G7">B8+B9+B10</f>
        <v>14304.2</v>
      </c>
      <c r="C7" s="26">
        <f t="shared" si="0"/>
        <v>1324</v>
      </c>
      <c r="D7" s="26">
        <f t="shared" si="0"/>
        <v>6853.219999999999</v>
      </c>
      <c r="E7" s="26">
        <f t="shared" si="0"/>
        <v>0</v>
      </c>
      <c r="F7" s="26">
        <f t="shared" si="0"/>
        <v>1476.43</v>
      </c>
      <c r="G7" s="26">
        <f t="shared" si="0"/>
        <v>10</v>
      </c>
      <c r="H7" s="26">
        <f>B7+D7+F7</f>
        <v>22633.85</v>
      </c>
      <c r="I7" s="28">
        <f>C7+E7+G7</f>
        <v>1334</v>
      </c>
    </row>
    <row r="8" spans="1:9" ht="12.75">
      <c r="A8" s="29" t="s">
        <v>5</v>
      </c>
      <c r="B8" s="30"/>
      <c r="C8" s="30"/>
      <c r="D8" s="30"/>
      <c r="E8" s="30"/>
      <c r="F8" s="30"/>
      <c r="G8" s="30"/>
      <c r="H8" s="32">
        <f aca="true" t="shared" si="1" ref="H8:H18">B8+D8+F8</f>
        <v>0</v>
      </c>
      <c r="I8" s="33">
        <f aca="true" t="shared" si="2" ref="I8:I18">C8+E8+G8</f>
        <v>0</v>
      </c>
    </row>
    <row r="9" spans="1:9" ht="12.75">
      <c r="A9" s="34" t="s">
        <v>6</v>
      </c>
      <c r="B9" s="9">
        <v>2256.7</v>
      </c>
      <c r="C9" s="9">
        <f>6+14.1+4+49.3+59.9+118.9+5</f>
        <v>257.20000000000005</v>
      </c>
      <c r="D9" s="9"/>
      <c r="E9" s="9"/>
      <c r="F9" s="9"/>
      <c r="G9" s="9"/>
      <c r="H9" s="22">
        <f t="shared" si="1"/>
        <v>2256.7</v>
      </c>
      <c r="I9" s="35">
        <f t="shared" si="2"/>
        <v>257.20000000000005</v>
      </c>
    </row>
    <row r="10" spans="1:9" ht="12.75">
      <c r="A10" s="34" t="s">
        <v>7</v>
      </c>
      <c r="B10" s="9">
        <f>B12+B13+B14+B15+B16+B17+B18</f>
        <v>12047.5</v>
      </c>
      <c r="C10" s="9">
        <v>1066.8</v>
      </c>
      <c r="D10" s="9">
        <f>D12+D13+D14+D15+D16+D18</f>
        <v>6853.219999999999</v>
      </c>
      <c r="E10" s="9"/>
      <c r="F10" s="9">
        <f>F12+F13+F14+F15+F18</f>
        <v>1476.43</v>
      </c>
      <c r="G10" s="9">
        <v>10</v>
      </c>
      <c r="H10" s="22">
        <f t="shared" si="1"/>
        <v>20377.15</v>
      </c>
      <c r="I10" s="35">
        <f t="shared" si="2"/>
        <v>1076.8</v>
      </c>
    </row>
    <row r="11" spans="1:9" ht="12.75">
      <c r="A11" s="36" t="s">
        <v>8</v>
      </c>
      <c r="B11" s="37"/>
      <c r="C11" s="37"/>
      <c r="D11" s="37"/>
      <c r="E11" s="37"/>
      <c r="F11" s="37"/>
      <c r="G11" s="37"/>
      <c r="H11" s="22"/>
      <c r="I11" s="35"/>
    </row>
    <row r="12" spans="1:9" ht="12.75">
      <c r="A12" s="39" t="s">
        <v>9</v>
      </c>
      <c r="B12" s="9">
        <f>478.6+533.4</f>
        <v>1012</v>
      </c>
      <c r="C12" s="9"/>
      <c r="D12" s="9">
        <v>1567.02</v>
      </c>
      <c r="E12" s="9"/>
      <c r="F12" s="9">
        <v>538.47</v>
      </c>
      <c r="G12" s="9">
        <v>161.54</v>
      </c>
      <c r="H12" s="22">
        <f t="shared" si="1"/>
        <v>3117.49</v>
      </c>
      <c r="I12" s="35">
        <f t="shared" si="2"/>
        <v>161.54</v>
      </c>
    </row>
    <row r="13" spans="1:9" ht="25.5">
      <c r="A13" s="39" t="s">
        <v>10</v>
      </c>
      <c r="B13" s="9">
        <f>2.1+7+245+2+2+99.8+2+3.5+76.5+467.4+249.9+6.9+382.9</f>
        <v>1547</v>
      </c>
      <c r="C13" s="9">
        <f>2.1+7+22.9+4</f>
        <v>36</v>
      </c>
      <c r="D13" s="9">
        <f>1.7+62+1.5+2.4+1.5+23.1+12.5+5+5</f>
        <v>114.70000000000002</v>
      </c>
      <c r="E13" s="9">
        <v>23.1</v>
      </c>
      <c r="F13" s="9">
        <f>12+85.18+2.8</f>
        <v>99.98</v>
      </c>
      <c r="G13" s="9"/>
      <c r="H13" s="22">
        <f t="shared" si="1"/>
        <v>1761.68</v>
      </c>
      <c r="I13" s="35">
        <f t="shared" si="2"/>
        <v>59.1</v>
      </c>
    </row>
    <row r="14" spans="1:9" ht="25.5">
      <c r="A14" s="39" t="s">
        <v>11</v>
      </c>
      <c r="B14" s="9">
        <f>157+477.7</f>
        <v>634.7</v>
      </c>
      <c r="C14" s="9"/>
      <c r="D14" s="9">
        <f>370.4</f>
        <v>370.4</v>
      </c>
      <c r="E14" s="9"/>
      <c r="F14" s="9">
        <v>48.84</v>
      </c>
      <c r="G14" s="9"/>
      <c r="H14" s="22">
        <f t="shared" si="1"/>
        <v>1053.94</v>
      </c>
      <c r="I14" s="35">
        <f t="shared" si="2"/>
        <v>0</v>
      </c>
    </row>
    <row r="15" spans="1:9" ht="38.25">
      <c r="A15" s="39" t="s">
        <v>12</v>
      </c>
      <c r="B15" s="9">
        <f>148+2+298.6+5+26+200+276.6+85+42.9+5+6.8+561+81+76.2+5+230.3+70+89.3+78.4+7.5+57.4+32+731.8+30+192.8+19</f>
        <v>3357.6000000000004</v>
      </c>
      <c r="C15" s="9">
        <f>95.6+4+78.4</f>
        <v>178</v>
      </c>
      <c r="D15" s="9">
        <f>115+70+29+17.8+95+23+41+90+15+135+21.7+198.3+21.7+99.9+70+29.5+282.2+41+143+100+49+56.4+28+1507.1+49</f>
        <v>3327.6000000000004</v>
      </c>
      <c r="E15" s="9">
        <f>96.1+40.7+99.7+52.1+28</f>
        <v>316.6</v>
      </c>
      <c r="F15" s="9">
        <f>10+101+600+7+3</f>
        <v>721</v>
      </c>
      <c r="G15" s="9"/>
      <c r="H15" s="22">
        <f t="shared" si="1"/>
        <v>7406.200000000001</v>
      </c>
      <c r="I15" s="35">
        <f t="shared" si="2"/>
        <v>494.6</v>
      </c>
    </row>
    <row r="16" spans="1:9" ht="12.75">
      <c r="A16" s="39" t="s">
        <v>13</v>
      </c>
      <c r="B16" s="9">
        <f>73.4+89.6+201+104+44.7+15+15+42+111.5+86+28+178</f>
        <v>988.2</v>
      </c>
      <c r="C16" s="9">
        <f>89.6+25.7+49.3+118.9+94.7</f>
        <v>378.2</v>
      </c>
      <c r="D16" s="9">
        <f>37.9+9</f>
        <v>46.9</v>
      </c>
      <c r="E16" s="9">
        <v>9</v>
      </c>
      <c r="F16" s="9"/>
      <c r="G16" s="9"/>
      <c r="H16" s="22">
        <f t="shared" si="1"/>
        <v>1035.1000000000001</v>
      </c>
      <c r="I16" s="35">
        <f t="shared" si="2"/>
        <v>387.2</v>
      </c>
    </row>
    <row r="17" spans="1:9" ht="25.5">
      <c r="A17" s="41" t="s">
        <v>18</v>
      </c>
      <c r="B17" s="9">
        <f>351+105.3+115+34.5+16</f>
        <v>621.8</v>
      </c>
      <c r="C17" s="43"/>
      <c r="D17" s="9"/>
      <c r="E17" s="43"/>
      <c r="F17" s="9"/>
      <c r="G17" s="43"/>
      <c r="H17" s="22">
        <f t="shared" si="1"/>
        <v>621.8</v>
      </c>
      <c r="I17" s="35">
        <f t="shared" si="2"/>
        <v>0</v>
      </c>
    </row>
    <row r="18" spans="1:9" ht="13.5" thickBot="1">
      <c r="A18" s="44" t="s">
        <v>14</v>
      </c>
      <c r="B18" s="46">
        <f>855.4+58.8+1052.4+6+99.9+88+414.1+13+99+19+19+239.2+100+19.9+66.5+73.7+45+22.8+80+99.1+20+30+205.3+128.1+18+14</f>
        <v>3886.2</v>
      </c>
      <c r="C18" s="46">
        <f>58.8+63+6+99+14+49+14.1+58+69+47.7+59.9+5+188.3</f>
        <v>731.8</v>
      </c>
      <c r="D18" s="46">
        <f>100+56+57.5+22+79.4+20+30+101.9+47.4+50+95+14.9+92+15+45+31+143+70+41+136.8+168.7+10</f>
        <v>1426.6</v>
      </c>
      <c r="E18" s="46">
        <f>31.4+57.5+21.8+29.8+20+90+32.6+123.2+12.9+14.9+19.8+30.9+43.9+122.7+90+78.9+29</f>
        <v>849.3</v>
      </c>
      <c r="F18" s="46">
        <f>3+31+34.14</f>
        <v>68.14</v>
      </c>
      <c r="G18" s="46">
        <v>10</v>
      </c>
      <c r="H18" s="47">
        <f t="shared" si="1"/>
        <v>5380.94</v>
      </c>
      <c r="I18" s="48">
        <f t="shared" si="2"/>
        <v>1591.1</v>
      </c>
    </row>
    <row r="22" spans="1:9" ht="12.75">
      <c r="A22" s="51" t="s">
        <v>19</v>
      </c>
      <c r="B22" s="51"/>
      <c r="C22" s="51"/>
      <c r="D22" s="51"/>
      <c r="E22" s="51"/>
      <c r="F22" s="51"/>
      <c r="G22" s="51"/>
      <c r="H22" s="51"/>
      <c r="I22" s="51"/>
    </row>
    <row r="25" ht="12.75">
      <c r="A25" s="1" t="s">
        <v>21</v>
      </c>
    </row>
  </sheetData>
  <sheetProtection/>
  <mergeCells count="7">
    <mergeCell ref="A22:I22"/>
    <mergeCell ref="A3:I3"/>
    <mergeCell ref="A2:I2"/>
    <mergeCell ref="B5:C5"/>
    <mergeCell ref="D5:E5"/>
    <mergeCell ref="F5:G5"/>
    <mergeCell ref="H5:I5"/>
  </mergeCells>
  <printOptions/>
  <pageMargins left="0.7874015748031497" right="0" top="0.984251968503937" bottom="0.984251968503937" header="0" footer="0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">
      <selection activeCell="C28" sqref="C27:C28"/>
    </sheetView>
  </sheetViews>
  <sheetFormatPr defaultColWidth="9.140625" defaultRowHeight="12.75"/>
  <cols>
    <col min="1" max="1" width="26.7109375" style="1" customWidth="1"/>
    <col min="2" max="2" width="13.7109375" style="1" customWidth="1"/>
    <col min="3" max="3" width="12.57421875" style="1" customWidth="1"/>
    <col min="4" max="4" width="13.00390625" style="1" customWidth="1"/>
    <col min="5" max="5" width="12.140625" style="1" customWidth="1"/>
    <col min="6" max="6" width="12.421875" style="1" customWidth="1"/>
    <col min="7" max="7" width="13.140625" style="1" customWidth="1"/>
    <col min="8" max="8" width="11.140625" style="1" customWidth="1"/>
    <col min="9" max="9" width="11.28125" style="1" customWidth="1"/>
    <col min="10" max="16384" width="9.140625" style="1" customWidth="1"/>
  </cols>
  <sheetData>
    <row r="2" spans="1:9" ht="18.75">
      <c r="A2" s="52" t="s">
        <v>0</v>
      </c>
      <c r="B2" s="52"/>
      <c r="C2" s="52"/>
      <c r="D2" s="52"/>
      <c r="E2" s="52"/>
      <c r="F2" s="52"/>
      <c r="G2" s="52"/>
      <c r="H2" s="52"/>
      <c r="I2" s="52"/>
    </row>
    <row r="3" spans="1:9" ht="18.75">
      <c r="A3" s="52" t="s">
        <v>22</v>
      </c>
      <c r="B3" s="52"/>
      <c r="C3" s="52"/>
      <c r="D3" s="52"/>
      <c r="E3" s="52"/>
      <c r="F3" s="52"/>
      <c r="G3" s="52"/>
      <c r="H3" s="52"/>
      <c r="I3" s="52"/>
    </row>
    <row r="4" ht="13.5" thickBot="1"/>
    <row r="5" spans="1:9" ht="39" customHeight="1" thickBot="1">
      <c r="A5" s="2"/>
      <c r="B5" s="53" t="s">
        <v>1</v>
      </c>
      <c r="C5" s="54"/>
      <c r="D5" s="55" t="s">
        <v>2</v>
      </c>
      <c r="E5" s="56"/>
      <c r="F5" s="53" t="s">
        <v>3</v>
      </c>
      <c r="G5" s="54"/>
      <c r="H5" s="57" t="s">
        <v>17</v>
      </c>
      <c r="I5" s="58"/>
    </row>
    <row r="6" spans="1:9" ht="20.25" customHeight="1" thickBot="1">
      <c r="A6" s="2"/>
      <c r="B6" s="3" t="s">
        <v>15</v>
      </c>
      <c r="C6" s="4" t="s">
        <v>16</v>
      </c>
      <c r="D6" s="3" t="s">
        <v>15</v>
      </c>
      <c r="E6" s="4" t="s">
        <v>16</v>
      </c>
      <c r="F6" s="3" t="s">
        <v>15</v>
      </c>
      <c r="G6" s="4" t="s">
        <v>16</v>
      </c>
      <c r="H6" s="3" t="s">
        <v>15</v>
      </c>
      <c r="I6" s="5" t="s">
        <v>16</v>
      </c>
    </row>
    <row r="7" spans="1:9" ht="13.5" thickBot="1">
      <c r="A7" s="25" t="s">
        <v>4</v>
      </c>
      <c r="B7" s="26">
        <f aca="true" t="shared" si="0" ref="B7:G7">B8+B9+B10</f>
        <v>16943.78</v>
      </c>
      <c r="C7" s="27">
        <f t="shared" si="0"/>
        <v>9043.429999999998</v>
      </c>
      <c r="D7" s="26">
        <f>D8+D9+D10</f>
        <v>11755.800000000001</v>
      </c>
      <c r="E7" s="26">
        <f t="shared" si="0"/>
        <v>6302.1</v>
      </c>
      <c r="F7" s="26">
        <f t="shared" si="0"/>
        <v>11644.920000000002</v>
      </c>
      <c r="G7" s="26">
        <f t="shared" si="0"/>
        <v>5725.66</v>
      </c>
      <c r="H7" s="26">
        <f>B7+D7+F7</f>
        <v>40344.5</v>
      </c>
      <c r="I7" s="28">
        <f>C7+E7+G7</f>
        <v>21071.19</v>
      </c>
    </row>
    <row r="8" spans="1:9" ht="12.75">
      <c r="A8" s="29" t="s">
        <v>5</v>
      </c>
      <c r="B8" s="30"/>
      <c r="C8" s="31"/>
      <c r="D8" s="30"/>
      <c r="E8" s="30"/>
      <c r="F8" s="30"/>
      <c r="G8" s="30"/>
      <c r="H8" s="32"/>
      <c r="I8" s="33"/>
    </row>
    <row r="9" spans="1:9" ht="12.75">
      <c r="A9" s="34" t="s">
        <v>6</v>
      </c>
      <c r="B9" s="9">
        <f>1436.5+1292.4+77.9+121.2+81.22+281.2+49+2.2+190.7+64+28.82+34.95+21.6+3.91+62.67+117</f>
        <v>3865.269999999999</v>
      </c>
      <c r="C9" s="21">
        <f>B9</f>
        <v>3865.269999999999</v>
      </c>
      <c r="D9" s="9">
        <f>861.6+1045.43</f>
        <v>1907.0300000000002</v>
      </c>
      <c r="E9" s="9">
        <f>D9</f>
        <v>1907.0300000000002</v>
      </c>
      <c r="F9" s="9">
        <v>5353.8</v>
      </c>
      <c r="G9" s="9">
        <f>F9</f>
        <v>5353.8</v>
      </c>
      <c r="H9" s="22">
        <f aca="true" t="shared" si="1" ref="H9:I18">B9+D9+F9</f>
        <v>11126.099999999999</v>
      </c>
      <c r="I9" s="35">
        <f t="shared" si="1"/>
        <v>11126.099999999999</v>
      </c>
    </row>
    <row r="10" spans="1:9" ht="12.75">
      <c r="A10" s="34" t="s">
        <v>7</v>
      </c>
      <c r="B10" s="9">
        <f>B12+B13+B14+B15+B16+B17+B18</f>
        <v>13078.509999999998</v>
      </c>
      <c r="C10" s="21">
        <f>C12+C13+C14+C15+C16+C17+C18</f>
        <v>5178.16</v>
      </c>
      <c r="D10" s="9">
        <f>D12+D13+D14+D15+D16+D18</f>
        <v>9848.77</v>
      </c>
      <c r="E10" s="9">
        <f>E12+E13+E14+E15+E16+E18</f>
        <v>4395.07</v>
      </c>
      <c r="F10" s="9">
        <f>F12+F13+F14+F15+F18</f>
        <v>6291.120000000001</v>
      </c>
      <c r="G10" s="9">
        <f>G12+G13+G14+G15+G16+G17+G18</f>
        <v>371.86</v>
      </c>
      <c r="H10" s="22">
        <f t="shared" si="1"/>
        <v>29218.4</v>
      </c>
      <c r="I10" s="35">
        <f t="shared" si="1"/>
        <v>9945.09</v>
      </c>
    </row>
    <row r="11" spans="1:9" ht="12.75">
      <c r="A11" s="36" t="s">
        <v>8</v>
      </c>
      <c r="B11" s="37"/>
      <c r="C11" s="38"/>
      <c r="D11" s="37"/>
      <c r="E11" s="37"/>
      <c r="F11" s="37"/>
      <c r="G11" s="37"/>
      <c r="H11" s="22"/>
      <c r="I11" s="35"/>
    </row>
    <row r="12" spans="1:9" ht="25.5">
      <c r="A12" s="39" t="s">
        <v>23</v>
      </c>
      <c r="B12" s="21">
        <f>1117.4+2590.9</f>
        <v>3708.3</v>
      </c>
      <c r="C12" s="21">
        <f>91.9+58.21+359.5+184+291.3</f>
        <v>984.9100000000001</v>
      </c>
      <c r="D12" s="21">
        <f>861.6+118.4+123.3+45.13+758.6+16.5+200+63.1+99.95+300+200+75+74.98+89.9+100+7+86.9-119.56+20+199+195.97+500+36.4+32-2000</f>
        <v>2084.17</v>
      </c>
      <c r="E12" s="9">
        <f>106.9</f>
        <v>106.9</v>
      </c>
      <c r="F12" s="9">
        <f>5478.45+141.6+3.06</f>
        <v>5623.110000000001</v>
      </c>
      <c r="G12" s="9">
        <f>22.9</f>
        <v>22.9</v>
      </c>
      <c r="H12" s="22">
        <f t="shared" si="1"/>
        <v>11415.580000000002</v>
      </c>
      <c r="I12" s="35">
        <f t="shared" si="1"/>
        <v>1114.7100000000003</v>
      </c>
    </row>
    <row r="13" spans="1:9" ht="25.5">
      <c r="A13" s="39" t="s">
        <v>10</v>
      </c>
      <c r="B13" s="21">
        <f>42.72+18.25+6.12+6+7.2+9.8+15.86+7+42+20+1.6+8+3+24+48.6+20+20.7+19.4+56.04+10.3+31.3+84.06+7.2+17.3+8.5+42.4+3+4.8+33</f>
        <v>618.1499999999999</v>
      </c>
      <c r="C13" s="21">
        <f>16+6.12+25.7+7+8+84.1+315.1+11.8+61.4+5</f>
        <v>540.22</v>
      </c>
      <c r="D13" s="21">
        <f>33.7+12+16+7.82+29.7+10.65+5+3+39.1+1.93+4+6.29+21.73+7.2+40+10+12+10.8+31.21+8+5.4+17.22+36.48+6.6+3.6+12+12+19.2+2.4+7+4.1+2.4+50.4+20.71+29+6+34.8+10+2+3+98+60.7+10+24.5+102.7+3.5+4.8+9+34.6+4.8+9+2.7+10-450</f>
        <v>518.74</v>
      </c>
      <c r="E13" s="9">
        <f>24.7+0.81+2.5+24.5+540.94+140.84+36.4+3.08+5.2</f>
        <v>778.9700000000001</v>
      </c>
      <c r="F13" s="9">
        <f>118.99+4.08</f>
        <v>123.07</v>
      </c>
      <c r="G13" s="9">
        <f>39.9+1.53+27.2+2</f>
        <v>70.63</v>
      </c>
      <c r="H13" s="22">
        <f t="shared" si="1"/>
        <v>1259.9599999999998</v>
      </c>
      <c r="I13" s="35">
        <f t="shared" si="1"/>
        <v>1389.8200000000002</v>
      </c>
    </row>
    <row r="14" spans="1:9" ht="25.5">
      <c r="A14" s="39" t="s">
        <v>11</v>
      </c>
      <c r="B14" s="21">
        <f>14.95+95.71+43.72+85.9+18.8+23.4+4+30+4+18+42+120</f>
        <v>500.47999999999996</v>
      </c>
      <c r="C14" s="21">
        <f>66.4+324.6+4</f>
        <v>395</v>
      </c>
      <c r="D14" s="21">
        <f>26.4+27.58+12.45+12.4+4+28.98+4+12.45+38.94+4+43.92+4+43.92+4+43.92+4+22+4+15</f>
        <v>355.96000000000004</v>
      </c>
      <c r="E14" s="9">
        <f>180.9</f>
        <v>180.9</v>
      </c>
      <c r="F14" s="9">
        <f>47.9+12.03</f>
        <v>59.93</v>
      </c>
      <c r="G14" s="9">
        <f>27.9-7.21</f>
        <v>20.689999999999998</v>
      </c>
      <c r="H14" s="22">
        <f t="shared" si="1"/>
        <v>916.37</v>
      </c>
      <c r="I14" s="35">
        <f t="shared" si="1"/>
        <v>596.5899999999999</v>
      </c>
    </row>
    <row r="15" spans="1:9" ht="38.25">
      <c r="A15" s="39" t="s">
        <v>12</v>
      </c>
      <c r="B15" s="21">
        <f>57.24+41.17+48.3+60.9+21.2+66.05+3+43.22+43.44+6+6.3+41.3+13+50+24+31.75+62.34</f>
        <v>619.2099999999999</v>
      </c>
      <c r="C15" s="21">
        <f>18.6+13.1+59.9+227.7+5</f>
        <v>324.29999999999995</v>
      </c>
      <c r="D15" s="21">
        <f>6.4+12.7+51+7.5+18.6+7.87+6.4+5+7.96+4.31+9.55+4.63+2.73+13.78+67.94+24.92+7.6+15.9+33.12+8.5+5+15+22.3+85.58+9.45+17.5+15.9+57.46+6.9+14.4+14.4+54+4.2+17.49+51.53+20.7+2.5+16.6+51.72+11+30+35.22+56.6+23.7+14.3+19.6+19+38.7+30.9+5.4+7+15.71+58.8+9+20+2500</f>
        <v>3693.9700000000003</v>
      </c>
      <c r="E15" s="9">
        <f>78.98+426.6+239.3</f>
        <v>744.8800000000001</v>
      </c>
      <c r="F15" s="9">
        <f>67.8+9+4.5</f>
        <v>81.3</v>
      </c>
      <c r="G15" s="21">
        <f>32.1+4.24+1.6</f>
        <v>37.940000000000005</v>
      </c>
      <c r="H15" s="22">
        <f t="shared" si="1"/>
        <v>4394.4800000000005</v>
      </c>
      <c r="I15" s="35">
        <f t="shared" si="1"/>
        <v>1107.1200000000001</v>
      </c>
    </row>
    <row r="16" spans="1:9" ht="12.75">
      <c r="A16" s="39" t="s">
        <v>13</v>
      </c>
      <c r="B16" s="21">
        <f>92.7+10+47.3+65+75+2783+10+196.2+119.96+80+411</f>
        <v>3890.16</v>
      </c>
      <c r="C16" s="21">
        <f>80.22+281.2+2.2</f>
        <v>363.61999999999995</v>
      </c>
      <c r="D16" s="21">
        <v>41.34</v>
      </c>
      <c r="E16" s="9">
        <f>32.24+9.1</f>
        <v>41.34</v>
      </c>
      <c r="F16" s="9"/>
      <c r="G16" s="9"/>
      <c r="H16" s="22">
        <f t="shared" si="1"/>
        <v>3931.5</v>
      </c>
      <c r="I16" s="35">
        <f t="shared" si="1"/>
        <v>404.9599999999999</v>
      </c>
    </row>
    <row r="17" spans="1:9" ht="25.5">
      <c r="A17" s="41" t="s">
        <v>18</v>
      </c>
      <c r="B17" s="21">
        <f>627+188.1</f>
        <v>815.1</v>
      </c>
      <c r="C17" s="42">
        <v>815.1</v>
      </c>
      <c r="D17" s="21">
        <v>119.56</v>
      </c>
      <c r="E17" s="43">
        <f>D17</f>
        <v>119.56</v>
      </c>
      <c r="F17" s="9"/>
      <c r="G17" s="43"/>
      <c r="H17" s="22">
        <f t="shared" si="1"/>
        <v>934.6600000000001</v>
      </c>
      <c r="I17" s="35">
        <f t="shared" si="1"/>
        <v>934.6600000000001</v>
      </c>
    </row>
    <row r="18" spans="1:9" ht="13.5" thickBot="1">
      <c r="A18" s="44" t="s">
        <v>14</v>
      </c>
      <c r="B18" s="45">
        <f>29.94+25+15+1.5+8.5+8+10.2+226.53+44+91+28.9+94.3+32+28+29.4+33.9+80.72+200.52+56.2+24.61+128.8+30+5+232.02+44+46.3+8+52.4+74+26+70+71+10.22+34.4+24.75+60+42+900</f>
        <v>2927.1099999999997</v>
      </c>
      <c r="C18" s="45">
        <f>21.7+3.2+10.2+26.8+85.4+107.8+88.1+27.5+52.4+121.2+9+78.5+190.7+121.6+28.8+97.4+10+30.5+3.91+302.4+337.9</f>
        <v>1755.0100000000002</v>
      </c>
      <c r="D18" s="45">
        <f>30+23.3+29.8+36+7.3+43.95+10+34.7+22.74+3.92+53.3+5.5+26+3.13+71+5+1.55+17.58+1.95+6.5+9.4+2.83+9.7+16.2+45+10+3+44.63+20+15.9+4.74+61.09+64.2+254.4+27+15+20+6.2+23.1+48.52+5.5+61.2+46+84.62+55.7+143.11+140+14+42.63+34.7+3.4+36.84+25.44+24.98+25+10.3+5.2+14.6+2.8+10.4+10+200+161.9+14.2+8+166.76+166.7+264.9+134.3+13+27+29.5+131.5+97+23.99+61.65+9.2+24.6+214.6+141.73+11.62+10+15.6+8+29.8+6.6+14.9+137+7.8+16.8+82.4+274.5+18.79+120+420+13+135.5+494.3+12.6+147.7+84.9+30+353.9+13.3+104.5+212.6+57.4-3500</f>
        <v>3154.5899999999992</v>
      </c>
      <c r="E18" s="46">
        <f>23.3+225.42+118.8+17.22+32.2+6.7+309.9+439.03+111.6+188.9+81.98+14+78.7+68.3+8+73.4+82.52+301.6+360.51</f>
        <v>2542.08</v>
      </c>
      <c r="F18" s="46">
        <f>330+9.91+15.5+9.2+2+2.5+4.1+7.5+11+12</f>
        <v>403.71000000000004</v>
      </c>
      <c r="G18" s="46">
        <f>177.2+1.9+2.5+38.1</f>
        <v>219.7</v>
      </c>
      <c r="H18" s="47">
        <f t="shared" si="1"/>
        <v>6485.409999999999</v>
      </c>
      <c r="I18" s="48">
        <f t="shared" si="1"/>
        <v>4516.79</v>
      </c>
    </row>
    <row r="19" ht="12.75">
      <c r="D19" s="1" t="s">
        <v>24</v>
      </c>
    </row>
    <row r="22" spans="1:9" ht="12.75">
      <c r="A22" s="51" t="s">
        <v>25</v>
      </c>
      <c r="B22" s="51"/>
      <c r="C22" s="51"/>
      <c r="D22" s="51"/>
      <c r="E22" s="51"/>
      <c r="F22" s="51"/>
      <c r="G22" s="51"/>
      <c r="H22" s="51"/>
      <c r="I22" s="51"/>
    </row>
    <row r="25" ht="12.75">
      <c r="A25" s="1" t="s">
        <v>26</v>
      </c>
    </row>
  </sheetData>
  <sheetProtection/>
  <mergeCells count="7">
    <mergeCell ref="A22:I22"/>
    <mergeCell ref="A2:I2"/>
    <mergeCell ref="A3:I3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6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26.7109375" style="1" customWidth="1"/>
    <col min="2" max="2" width="13.7109375" style="1" customWidth="1"/>
    <col min="3" max="3" width="12.57421875" style="1" customWidth="1"/>
    <col min="4" max="4" width="13.00390625" style="1" customWidth="1"/>
    <col min="5" max="5" width="12.140625" style="1" customWidth="1"/>
    <col min="6" max="6" width="12.421875" style="1" customWidth="1"/>
    <col min="7" max="7" width="13.140625" style="1" customWidth="1"/>
    <col min="8" max="8" width="11.140625" style="1" customWidth="1"/>
    <col min="9" max="9" width="11.28125" style="1" customWidth="1"/>
    <col min="10" max="16384" width="9.140625" style="1" customWidth="1"/>
  </cols>
  <sheetData>
    <row r="2" spans="1:9" ht="18.75">
      <c r="A2" s="52" t="s">
        <v>0</v>
      </c>
      <c r="B2" s="52"/>
      <c r="C2" s="52"/>
      <c r="D2" s="52"/>
      <c r="E2" s="52"/>
      <c r="F2" s="52"/>
      <c r="G2" s="52"/>
      <c r="H2" s="52"/>
      <c r="I2" s="52"/>
    </row>
    <row r="3" spans="1:9" ht="18.75">
      <c r="A3" s="52" t="s">
        <v>27</v>
      </c>
      <c r="B3" s="52"/>
      <c r="C3" s="52"/>
      <c r="D3" s="52"/>
      <c r="E3" s="52"/>
      <c r="F3" s="52"/>
      <c r="G3" s="52"/>
      <c r="H3" s="52"/>
      <c r="I3" s="52"/>
    </row>
    <row r="4" ht="13.5" thickBot="1"/>
    <row r="5" spans="1:9" ht="39" customHeight="1" thickBot="1">
      <c r="A5" s="2"/>
      <c r="B5" s="53" t="s">
        <v>1</v>
      </c>
      <c r="C5" s="54"/>
      <c r="D5" s="55" t="s">
        <v>2</v>
      </c>
      <c r="E5" s="56"/>
      <c r="F5" s="53" t="s">
        <v>3</v>
      </c>
      <c r="G5" s="54"/>
      <c r="H5" s="57" t="s">
        <v>17</v>
      </c>
      <c r="I5" s="58"/>
    </row>
    <row r="6" spans="1:9" ht="20.25" customHeight="1" thickBot="1">
      <c r="A6" s="2"/>
      <c r="B6" s="3" t="s">
        <v>15</v>
      </c>
      <c r="C6" s="4" t="s">
        <v>16</v>
      </c>
      <c r="D6" s="3" t="s">
        <v>15</v>
      </c>
      <c r="E6" s="4" t="s">
        <v>16</v>
      </c>
      <c r="F6" s="3" t="s">
        <v>15</v>
      </c>
      <c r="G6" s="4" t="s">
        <v>16</v>
      </c>
      <c r="H6" s="3" t="s">
        <v>15</v>
      </c>
      <c r="I6" s="5" t="s">
        <v>16</v>
      </c>
    </row>
    <row r="7" spans="1:9" ht="13.5" thickBot="1">
      <c r="A7" s="25" t="s">
        <v>4</v>
      </c>
      <c r="B7" s="26">
        <f aca="true" t="shared" si="0" ref="B7:G7">B8+B9+B10</f>
        <v>28272.7</v>
      </c>
      <c r="C7" s="27">
        <f t="shared" si="0"/>
        <v>26096.100000000002</v>
      </c>
      <c r="D7" s="26">
        <f>D8+D9+D10</f>
        <v>38488.100000000006</v>
      </c>
      <c r="E7" s="26">
        <f t="shared" si="0"/>
        <v>38488.100000000006</v>
      </c>
      <c r="F7" s="26">
        <f t="shared" si="0"/>
        <v>1298.6</v>
      </c>
      <c r="G7" s="26">
        <f t="shared" si="0"/>
        <v>1298.6</v>
      </c>
      <c r="H7" s="26">
        <f>B7+D7+F7</f>
        <v>68059.40000000001</v>
      </c>
      <c r="I7" s="28">
        <f>C7+E7+G7</f>
        <v>65882.80000000002</v>
      </c>
    </row>
    <row r="8" spans="1:9" ht="12.75">
      <c r="A8" s="29" t="s">
        <v>5</v>
      </c>
      <c r="B8" s="30"/>
      <c r="C8" s="31"/>
      <c r="D8" s="30"/>
      <c r="E8" s="30"/>
      <c r="F8" s="30"/>
      <c r="G8" s="30"/>
      <c r="H8" s="32"/>
      <c r="I8" s="33"/>
    </row>
    <row r="9" spans="1:9" ht="12.75">
      <c r="A9" s="34" t="s">
        <v>6</v>
      </c>
      <c r="B9" s="9">
        <f>1982.5+611.1+1468.6+1894.8+1459.2+1325</f>
        <v>8741.2</v>
      </c>
      <c r="C9" s="21">
        <f>9.4+4+29.2+2.3+173+13.2+43.7+25.5+997.5+1552.3+2551.8+99.2+11.8+67.1+3.3+0.3+11.6+17.8+70.3+84.2+156.6+141.8+1.8+127.9+14.9+113.3+7.5+47.4+2+17.6+2.1+11.1+83.7+74.2-4.8</f>
        <v>6564.600000000001</v>
      </c>
      <c r="D9" s="9">
        <v>64.9</v>
      </c>
      <c r="E9" s="9">
        <f>64.9</f>
        <v>64.9</v>
      </c>
      <c r="F9" s="9">
        <v>79.6</v>
      </c>
      <c r="G9" s="9">
        <f>79.6</f>
        <v>79.6</v>
      </c>
      <c r="H9" s="22">
        <f aca="true" t="shared" si="1" ref="H9:I18">B9+D9+F9</f>
        <v>8885.7</v>
      </c>
      <c r="I9" s="35">
        <f t="shared" si="1"/>
        <v>6709.100000000001</v>
      </c>
    </row>
    <row r="10" spans="1:9" ht="12.75">
      <c r="A10" s="34" t="s">
        <v>7</v>
      </c>
      <c r="B10" s="9">
        <f>B12+B13+B14+B15+B16+B17+B18</f>
        <v>19531.5</v>
      </c>
      <c r="C10" s="21">
        <f>C12+C13+C14+C15+C16+C17+C18</f>
        <v>19531.5</v>
      </c>
      <c r="D10" s="9">
        <f>D12+D13+D14+D15+D16+D18</f>
        <v>38423.200000000004</v>
      </c>
      <c r="E10" s="9">
        <f>E12+E13+E14+E15+E16+E18</f>
        <v>38423.200000000004</v>
      </c>
      <c r="F10" s="9">
        <f>F12+F13+F14+F15+F18</f>
        <v>1219</v>
      </c>
      <c r="G10" s="9">
        <v>1219</v>
      </c>
      <c r="H10" s="22">
        <f t="shared" si="1"/>
        <v>59173.700000000004</v>
      </c>
      <c r="I10" s="35">
        <f t="shared" si="1"/>
        <v>59173.700000000004</v>
      </c>
    </row>
    <row r="11" spans="1:9" ht="12.75">
      <c r="A11" s="36" t="s">
        <v>8</v>
      </c>
      <c r="B11" s="37"/>
      <c r="C11" s="38"/>
      <c r="D11" s="37"/>
      <c r="E11" s="37"/>
      <c r="F11" s="37"/>
      <c r="G11" s="37"/>
      <c r="H11" s="22"/>
      <c r="I11" s="35"/>
    </row>
    <row r="12" spans="1:9" ht="25.5">
      <c r="A12" s="39" t="s">
        <v>23</v>
      </c>
      <c r="B12" s="21">
        <f>1195.7+77.7+851.2+2197.4+989.6+4047.6+1128.9+33.3+33.3+33.3+16.8+45.5</f>
        <v>10650.299999999997</v>
      </c>
      <c r="C12" s="40">
        <v>10650.3</v>
      </c>
      <c r="D12" s="40">
        <v>8253.7</v>
      </c>
      <c r="E12" s="40">
        <v>8253.7</v>
      </c>
      <c r="F12" s="40">
        <f>7+304.7</f>
        <v>311.7</v>
      </c>
      <c r="G12" s="40">
        <v>311.7</v>
      </c>
      <c r="H12" s="22">
        <f t="shared" si="1"/>
        <v>19215.7</v>
      </c>
      <c r="I12" s="35">
        <f t="shared" si="1"/>
        <v>19215.7</v>
      </c>
    </row>
    <row r="13" spans="1:9" ht="25.5">
      <c r="A13" s="39" t="s">
        <v>10</v>
      </c>
      <c r="B13" s="21">
        <f>42.7+4.1+4+92+48.4+8+57.8+3.7+32.4+1.8+7.2+37.3+1.6+0.3+5+4+13.3+42</f>
        <v>405.6</v>
      </c>
      <c r="C13" s="21">
        <v>405.6</v>
      </c>
      <c r="D13" s="21">
        <f>40.7+25.5+4.4+35.1+4.4+10.6+12.4+31.2+5.4+36.5+9.2+25+4.4+61.9+50.5+3.3+32.7+4+4.4+17.3+1.6+22.4+6.8+24.4+21.5+4.4+3.4+4.8+1</f>
        <v>509.19999999999993</v>
      </c>
      <c r="E13" s="9">
        <v>509.2</v>
      </c>
      <c r="F13" s="9">
        <f>36.1+41.5+4.6+75+6.5+0.7</f>
        <v>164.39999999999998</v>
      </c>
      <c r="G13" s="9">
        <v>164.4</v>
      </c>
      <c r="H13" s="22">
        <f t="shared" si="1"/>
        <v>1079.1999999999998</v>
      </c>
      <c r="I13" s="35">
        <f t="shared" si="1"/>
        <v>1079.2</v>
      </c>
    </row>
    <row r="14" spans="1:9" ht="25.5">
      <c r="A14" s="39" t="s">
        <v>11</v>
      </c>
      <c r="B14" s="21">
        <f>15+4+26.5+88.2+142+4.2+18.4+19.4+4+53+1</f>
        <v>375.69999999999993</v>
      </c>
      <c r="C14" s="21">
        <v>375.7</v>
      </c>
      <c r="D14" s="21">
        <f>26.4+1+4+3.6+4+4+4+29+2.7+24.6+3+16.2+1.4+15.7+3.3+14.8</f>
        <v>157.70000000000005</v>
      </c>
      <c r="E14" s="9">
        <v>157.7</v>
      </c>
      <c r="F14" s="9">
        <f>46.4+16.5+4.2</f>
        <v>67.1</v>
      </c>
      <c r="G14" s="9">
        <v>67.1</v>
      </c>
      <c r="H14" s="22">
        <f t="shared" si="1"/>
        <v>600.5</v>
      </c>
      <c r="I14" s="35">
        <f t="shared" si="1"/>
        <v>600.5</v>
      </c>
    </row>
    <row r="15" spans="1:9" ht="38.25">
      <c r="A15" s="39" t="s">
        <v>12</v>
      </c>
      <c r="B15" s="21">
        <f>29.9+4+9.5+10+19.6+18.9+98.2+7.8+39.2+50.1+11.4+92+5.8+26.1+1.6+17.6+69.2+5.8+53.4+12.7+3.1+10+33.3+44.1+101.2</f>
        <v>774.5000000000001</v>
      </c>
      <c r="C15" s="21">
        <v>774.5</v>
      </c>
      <c r="D15" s="21">
        <f>9.7+8.9+6+51.4+3.9+2.7+5+30+5.8+9.1+15.2+3.5+1.4+0.6+15.1+12.9+23.9+68.8+2.8+4.3+5.6+18+6.6+26.5+4.3+3.8+17.6+37.7+5.6+8.6+1.5+39.2+11.8+16.2+4.3+30+12.7+32.5+4.4+17.6+30.4+5+14.5+5+5+7.2+17.6+24.7+14+3.3+0.8+5+6.7+34.9+6.9+7.1+5+12+11.2+14.3+5.5+0.7+20+8.9+13+4.4+1.5+10+64.6+13.2+24.5+2.3+3.7+5+22.2+5</f>
        <v>1020.6000000000004</v>
      </c>
      <c r="E15" s="9">
        <v>1020.6</v>
      </c>
      <c r="F15" s="9">
        <f>30.1+25.9+22+7.9+9.6+4.7+2.3</f>
        <v>102.5</v>
      </c>
      <c r="G15" s="21">
        <v>102.5</v>
      </c>
      <c r="H15" s="22">
        <f t="shared" si="1"/>
        <v>1897.6000000000004</v>
      </c>
      <c r="I15" s="35">
        <f t="shared" si="1"/>
        <v>1897.6</v>
      </c>
    </row>
    <row r="16" spans="1:9" ht="12.75">
      <c r="A16" s="39" t="s">
        <v>13</v>
      </c>
      <c r="B16" s="21">
        <v>159.8</v>
      </c>
      <c r="C16" s="21">
        <f>14.9+127.9+17</f>
        <v>159.8</v>
      </c>
      <c r="D16" s="21">
        <v>48.7</v>
      </c>
      <c r="E16" s="9">
        <f>43.5+5.2</f>
        <v>48.7</v>
      </c>
      <c r="F16" s="9"/>
      <c r="G16" s="9"/>
      <c r="H16" s="22">
        <f t="shared" si="1"/>
        <v>208.5</v>
      </c>
      <c r="I16" s="35">
        <f t="shared" si="1"/>
        <v>208.5</v>
      </c>
    </row>
    <row r="17" spans="1:9" ht="25.5">
      <c r="A17" s="41" t="s">
        <v>18</v>
      </c>
      <c r="B17" s="21"/>
      <c r="C17" s="42"/>
      <c r="D17" s="21"/>
      <c r="E17" s="43"/>
      <c r="F17" s="9"/>
      <c r="G17" s="43"/>
      <c r="H17" s="22">
        <f t="shared" si="1"/>
        <v>0</v>
      </c>
      <c r="I17" s="35">
        <f t="shared" si="1"/>
        <v>0</v>
      </c>
    </row>
    <row r="18" spans="1:9" ht="13.5" thickBot="1">
      <c r="A18" s="44" t="s">
        <v>14</v>
      </c>
      <c r="B18" s="45">
        <f>4477.8+548.3+428.5+340.8+2219.1+684.5+344.4+10488.1-12365.9</f>
        <v>7165.6</v>
      </c>
      <c r="C18" s="45">
        <v>7165.6</v>
      </c>
      <c r="D18" s="45">
        <f>1747.4+2112.7+1585.7+1769.7+3127.9+1720.8+1931.6+1761.1+1754.3+3568.3+1468.3+6032.5+1758.9+5279.1-7185</f>
        <v>28433.300000000003</v>
      </c>
      <c r="E18" s="46">
        <v>28433.3</v>
      </c>
      <c r="F18" s="46">
        <v>573.3</v>
      </c>
      <c r="G18" s="46">
        <v>573.3</v>
      </c>
      <c r="H18" s="47">
        <f t="shared" si="1"/>
        <v>36172.200000000004</v>
      </c>
      <c r="I18" s="48">
        <f t="shared" si="1"/>
        <v>36172.200000000004</v>
      </c>
    </row>
    <row r="19" ht="12.75">
      <c r="D19" s="1" t="s">
        <v>24</v>
      </c>
    </row>
    <row r="22" spans="1:9" ht="12.75">
      <c r="A22" s="51" t="s">
        <v>28</v>
      </c>
      <c r="B22" s="51"/>
      <c r="C22" s="51"/>
      <c r="D22" s="51"/>
      <c r="E22" s="51"/>
      <c r="F22" s="51"/>
      <c r="G22" s="51"/>
      <c r="H22" s="51"/>
      <c r="I22" s="51"/>
    </row>
    <row r="25" ht="12.75">
      <c r="A25" s="1" t="s">
        <v>29</v>
      </c>
    </row>
    <row r="26" ht="12.75">
      <c r="A26" s="1" t="s">
        <v>30</v>
      </c>
    </row>
  </sheetData>
  <sheetProtection/>
  <mergeCells count="7">
    <mergeCell ref="A22:I22"/>
    <mergeCell ref="A2:I2"/>
    <mergeCell ref="A3:I3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6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26.7109375" style="1" customWidth="1"/>
    <col min="2" max="2" width="13.7109375" style="1" customWidth="1"/>
    <col min="3" max="3" width="12.57421875" style="1" customWidth="1"/>
    <col min="4" max="4" width="13.00390625" style="1" customWidth="1"/>
    <col min="5" max="5" width="12.140625" style="1" customWidth="1"/>
    <col min="6" max="6" width="12.421875" style="1" customWidth="1"/>
    <col min="7" max="7" width="13.140625" style="1" customWidth="1"/>
    <col min="8" max="8" width="11.140625" style="1" customWidth="1"/>
    <col min="9" max="9" width="11.28125" style="1" customWidth="1"/>
    <col min="10" max="16384" width="9.140625" style="1" customWidth="1"/>
  </cols>
  <sheetData>
    <row r="2" spans="1:9" ht="18.75">
      <c r="A2" s="52" t="s">
        <v>0</v>
      </c>
      <c r="B2" s="52"/>
      <c r="C2" s="52"/>
      <c r="D2" s="52"/>
      <c r="E2" s="52"/>
      <c r="F2" s="52"/>
      <c r="G2" s="52"/>
      <c r="H2" s="52"/>
      <c r="I2" s="52"/>
    </row>
    <row r="3" spans="1:9" ht="18.75">
      <c r="A3" s="52" t="s">
        <v>33</v>
      </c>
      <c r="B3" s="52"/>
      <c r="C3" s="52"/>
      <c r="D3" s="52"/>
      <c r="E3" s="52"/>
      <c r="F3" s="52"/>
      <c r="G3" s="52"/>
      <c r="H3" s="52"/>
      <c r="I3" s="52"/>
    </row>
    <row r="4" ht="13.5" thickBot="1"/>
    <row r="5" spans="1:9" ht="39" customHeight="1" thickBot="1">
      <c r="A5" s="2"/>
      <c r="B5" s="53" t="s">
        <v>1</v>
      </c>
      <c r="C5" s="54"/>
      <c r="D5" s="55" t="s">
        <v>2</v>
      </c>
      <c r="E5" s="56"/>
      <c r="F5" s="53" t="s">
        <v>3</v>
      </c>
      <c r="G5" s="54"/>
      <c r="H5" s="57" t="s">
        <v>17</v>
      </c>
      <c r="I5" s="58"/>
    </row>
    <row r="6" spans="1:9" ht="20.25" customHeight="1" thickBot="1">
      <c r="A6" s="2"/>
      <c r="B6" s="3" t="s">
        <v>15</v>
      </c>
      <c r="C6" s="4" t="s">
        <v>16</v>
      </c>
      <c r="D6" s="3" t="s">
        <v>15</v>
      </c>
      <c r="E6" s="4" t="s">
        <v>16</v>
      </c>
      <c r="F6" s="3" t="s">
        <v>15</v>
      </c>
      <c r="G6" s="4" t="s">
        <v>16</v>
      </c>
      <c r="H6" s="3" t="s">
        <v>15</v>
      </c>
      <c r="I6" s="5" t="s">
        <v>16</v>
      </c>
    </row>
    <row r="7" spans="1:9" ht="12.75">
      <c r="A7" s="18" t="s">
        <v>4</v>
      </c>
      <c r="B7" s="19">
        <f aca="true" t="shared" si="0" ref="B7:G7">B8+B9+B10</f>
        <v>4850.9</v>
      </c>
      <c r="C7" s="23">
        <f t="shared" si="0"/>
        <v>1241.7</v>
      </c>
      <c r="D7" s="19">
        <f>D8+D9+D10</f>
        <v>25932.3</v>
      </c>
      <c r="E7" s="19">
        <f t="shared" si="0"/>
        <v>0</v>
      </c>
      <c r="F7" s="19">
        <f t="shared" si="0"/>
        <v>432.6</v>
      </c>
      <c r="G7" s="19">
        <f t="shared" si="0"/>
        <v>63.6</v>
      </c>
      <c r="H7" s="19">
        <f>B7+D7+F7</f>
        <v>31215.799999999996</v>
      </c>
      <c r="I7" s="20">
        <f>C7+E7+G7</f>
        <v>1305.3</v>
      </c>
    </row>
    <row r="8" spans="1:9" ht="12.75">
      <c r="A8" s="9" t="s">
        <v>5</v>
      </c>
      <c r="B8" s="9"/>
      <c r="C8" s="21"/>
      <c r="D8" s="9">
        <v>15008.8</v>
      </c>
      <c r="E8" s="9"/>
      <c r="F8" s="9"/>
      <c r="G8" s="9"/>
      <c r="H8" s="22">
        <f>B8+D8+F8</f>
        <v>15008.8</v>
      </c>
      <c r="I8" s="22">
        <f>C8+E8+G8</f>
        <v>0</v>
      </c>
    </row>
    <row r="9" spans="1:9" ht="12.75">
      <c r="A9" s="9" t="s">
        <v>6</v>
      </c>
      <c r="B9" s="9">
        <f>192.2+601.5</f>
        <v>793.7</v>
      </c>
      <c r="C9" s="21"/>
      <c r="D9" s="9">
        <f>6299.8+87</f>
        <v>6386.8</v>
      </c>
      <c r="E9" s="9"/>
      <c r="F9" s="9"/>
      <c r="G9" s="9"/>
      <c r="H9" s="22">
        <f aca="true" t="shared" si="1" ref="H9:H18">B9+D9+F9</f>
        <v>7180.5</v>
      </c>
      <c r="I9" s="22">
        <f aca="true" t="shared" si="2" ref="I9:I18">C9+E9+G9</f>
        <v>0</v>
      </c>
    </row>
    <row r="10" spans="1:9" ht="12.75">
      <c r="A10" s="9" t="s">
        <v>7</v>
      </c>
      <c r="B10" s="9">
        <v>4057.2</v>
      </c>
      <c r="C10" s="21">
        <f>1021.8+219.9</f>
        <v>1241.7</v>
      </c>
      <c r="D10" s="9">
        <f>3012.9+1500.8+23</f>
        <v>4536.7</v>
      </c>
      <c r="E10" s="9"/>
      <c r="F10" s="9">
        <v>432.6</v>
      </c>
      <c r="G10" s="9">
        <v>63.6</v>
      </c>
      <c r="H10" s="22">
        <f t="shared" si="1"/>
        <v>9026.5</v>
      </c>
      <c r="I10" s="22">
        <f t="shared" si="2"/>
        <v>1305.3</v>
      </c>
    </row>
    <row r="11" spans="1:9" ht="12.75">
      <c r="A11" s="13" t="s">
        <v>8</v>
      </c>
      <c r="B11" s="13"/>
      <c r="C11" s="24"/>
      <c r="D11" s="13"/>
      <c r="E11" s="13"/>
      <c r="F11" s="13"/>
      <c r="G11" s="13"/>
      <c r="H11" s="22"/>
      <c r="I11" s="22"/>
    </row>
    <row r="12" spans="1:9" ht="25.5">
      <c r="A12" s="15" t="s">
        <v>23</v>
      </c>
      <c r="B12" s="21">
        <v>2040.3</v>
      </c>
      <c r="C12" s="21">
        <v>1021.8</v>
      </c>
      <c r="D12" s="21">
        <f>15008.8+1500.8+2036.1+4242.3+954.4</f>
        <v>23742.399999999998</v>
      </c>
      <c r="E12" s="9"/>
      <c r="F12" s="9">
        <v>63.6</v>
      </c>
      <c r="G12" s="9">
        <v>63.6</v>
      </c>
      <c r="H12" s="22">
        <f t="shared" si="1"/>
        <v>25846.299999999996</v>
      </c>
      <c r="I12" s="22">
        <f t="shared" si="2"/>
        <v>1085.3999999999999</v>
      </c>
    </row>
    <row r="13" spans="1:9" ht="25.5">
      <c r="A13" s="15" t="s">
        <v>10</v>
      </c>
      <c r="B13" s="21">
        <v>713.1</v>
      </c>
      <c r="C13" s="21"/>
      <c r="D13" s="21">
        <v>799.1</v>
      </c>
      <c r="E13" s="9"/>
      <c r="F13" s="9">
        <v>117.3</v>
      </c>
      <c r="G13" s="9"/>
      <c r="H13" s="22">
        <f t="shared" si="1"/>
        <v>1629.5</v>
      </c>
      <c r="I13" s="22">
        <f t="shared" si="2"/>
        <v>0</v>
      </c>
    </row>
    <row r="14" spans="1:9" ht="25.5">
      <c r="A14" s="15" t="s">
        <v>11</v>
      </c>
      <c r="B14" s="21">
        <v>232.2</v>
      </c>
      <c r="C14" s="21"/>
      <c r="D14" s="21">
        <v>301.2</v>
      </c>
      <c r="E14" s="9"/>
      <c r="F14" s="9">
        <v>54.4</v>
      </c>
      <c r="G14" s="9"/>
      <c r="H14" s="22">
        <f t="shared" si="1"/>
        <v>587.8</v>
      </c>
      <c r="I14" s="22">
        <f t="shared" si="2"/>
        <v>0</v>
      </c>
    </row>
    <row r="15" spans="1:9" ht="38.25">
      <c r="A15" s="15" t="s">
        <v>12</v>
      </c>
      <c r="B15" s="21">
        <v>279.1</v>
      </c>
      <c r="C15" s="21">
        <v>219.9</v>
      </c>
      <c r="D15" s="21">
        <v>491.6</v>
      </c>
      <c r="E15" s="9"/>
      <c r="F15" s="9">
        <v>6.8</v>
      </c>
      <c r="G15" s="21"/>
      <c r="H15" s="22">
        <f t="shared" si="1"/>
        <v>777.5</v>
      </c>
      <c r="I15" s="22">
        <f t="shared" si="2"/>
        <v>219.9</v>
      </c>
    </row>
    <row r="16" spans="1:9" ht="12.75">
      <c r="A16" s="15" t="s">
        <v>13</v>
      </c>
      <c r="B16" s="21">
        <v>601.5</v>
      </c>
      <c r="C16" s="21"/>
      <c r="D16" s="21">
        <v>110</v>
      </c>
      <c r="E16" s="9"/>
      <c r="F16" s="9">
        <v>96.3</v>
      </c>
      <c r="G16" s="9"/>
      <c r="H16" s="22">
        <f t="shared" si="1"/>
        <v>807.8</v>
      </c>
      <c r="I16" s="22">
        <f t="shared" si="2"/>
        <v>0</v>
      </c>
    </row>
    <row r="17" spans="1:9" ht="25.5">
      <c r="A17" s="15" t="s">
        <v>18</v>
      </c>
      <c r="B17" s="21"/>
      <c r="C17" s="21"/>
      <c r="D17" s="21"/>
      <c r="E17" s="9"/>
      <c r="F17" s="9"/>
      <c r="G17" s="9"/>
      <c r="H17" s="22">
        <f t="shared" si="1"/>
        <v>0</v>
      </c>
      <c r="I17" s="22">
        <f t="shared" si="2"/>
        <v>0</v>
      </c>
    </row>
    <row r="18" spans="1:9" ht="12.75">
      <c r="A18" s="15" t="s">
        <v>14</v>
      </c>
      <c r="B18" s="21">
        <v>984.7</v>
      </c>
      <c r="C18" s="21"/>
      <c r="D18" s="21">
        <v>488</v>
      </c>
      <c r="E18" s="9"/>
      <c r="F18" s="9">
        <v>94.2</v>
      </c>
      <c r="G18" s="9"/>
      <c r="H18" s="22">
        <f t="shared" si="1"/>
        <v>1566.9</v>
      </c>
      <c r="I18" s="22">
        <f t="shared" si="2"/>
        <v>0</v>
      </c>
    </row>
    <row r="19" spans="2:6" ht="12.75">
      <c r="B19" s="1">
        <f>B12+B13+B14+B15+B16+B17+B18</f>
        <v>4850.9</v>
      </c>
      <c r="D19" s="1">
        <f>D12+D13+D14+D15+D16+D18</f>
        <v>25932.299999999996</v>
      </c>
      <c r="F19" s="1">
        <f>F12+F13+F14+F15+F16+F18</f>
        <v>432.6</v>
      </c>
    </row>
    <row r="22" spans="1:9" ht="12.75">
      <c r="A22" s="51" t="s">
        <v>31</v>
      </c>
      <c r="B22" s="51"/>
      <c r="C22" s="51"/>
      <c r="D22" s="51"/>
      <c r="E22" s="51"/>
      <c r="F22" s="51"/>
      <c r="G22" s="51"/>
      <c r="H22" s="51"/>
      <c r="I22" s="51"/>
    </row>
    <row r="25" ht="12.75">
      <c r="A25" s="1" t="s">
        <v>32</v>
      </c>
    </row>
    <row r="26" ht="12.75">
      <c r="A26" s="1" t="s">
        <v>30</v>
      </c>
    </row>
  </sheetData>
  <sheetProtection/>
  <mergeCells count="7">
    <mergeCell ref="A22:I22"/>
    <mergeCell ref="A2:I2"/>
    <mergeCell ref="A3:I3"/>
    <mergeCell ref="B5:C5"/>
    <mergeCell ref="D5:E5"/>
    <mergeCell ref="F5:G5"/>
    <mergeCell ref="H5:I5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6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26.7109375" style="1" customWidth="1"/>
    <col min="2" max="2" width="13.7109375" style="1" customWidth="1"/>
    <col min="3" max="3" width="12.57421875" style="1" customWidth="1"/>
    <col min="4" max="4" width="13.00390625" style="1" customWidth="1"/>
    <col min="5" max="5" width="12.140625" style="1" customWidth="1"/>
    <col min="6" max="6" width="12.421875" style="1" customWidth="1"/>
    <col min="7" max="7" width="13.140625" style="1" customWidth="1"/>
    <col min="8" max="8" width="11.140625" style="1" customWidth="1"/>
    <col min="9" max="9" width="11.28125" style="1" customWidth="1"/>
    <col min="10" max="16384" width="9.140625" style="1" customWidth="1"/>
  </cols>
  <sheetData>
    <row r="2" spans="1:9" ht="18.75">
      <c r="A2" s="52" t="s">
        <v>0</v>
      </c>
      <c r="B2" s="52"/>
      <c r="C2" s="52"/>
      <c r="D2" s="52"/>
      <c r="E2" s="52"/>
      <c r="F2" s="52"/>
      <c r="G2" s="52"/>
      <c r="H2" s="52"/>
      <c r="I2" s="52"/>
    </row>
    <row r="3" spans="1:9" ht="18.75">
      <c r="A3" s="52" t="s">
        <v>34</v>
      </c>
      <c r="B3" s="52"/>
      <c r="C3" s="52"/>
      <c r="D3" s="52"/>
      <c r="E3" s="52"/>
      <c r="F3" s="52"/>
      <c r="G3" s="52"/>
      <c r="H3" s="52"/>
      <c r="I3" s="52"/>
    </row>
    <row r="4" ht="13.5" thickBot="1"/>
    <row r="5" spans="1:9" ht="39" customHeight="1" thickBot="1">
      <c r="A5" s="2"/>
      <c r="B5" s="53" t="s">
        <v>1</v>
      </c>
      <c r="C5" s="54"/>
      <c r="D5" s="55" t="s">
        <v>2</v>
      </c>
      <c r="E5" s="56"/>
      <c r="F5" s="53" t="s">
        <v>3</v>
      </c>
      <c r="G5" s="54"/>
      <c r="H5" s="57" t="s">
        <v>17</v>
      </c>
      <c r="I5" s="58"/>
    </row>
    <row r="6" spans="1:9" ht="20.25" customHeight="1" thickBot="1">
      <c r="A6" s="2"/>
      <c r="B6" s="3" t="s">
        <v>15</v>
      </c>
      <c r="C6" s="4" t="s">
        <v>16</v>
      </c>
      <c r="D6" s="3" t="s">
        <v>15</v>
      </c>
      <c r="E6" s="4" t="s">
        <v>16</v>
      </c>
      <c r="F6" s="3" t="s">
        <v>15</v>
      </c>
      <c r="G6" s="4" t="s">
        <v>16</v>
      </c>
      <c r="H6" s="3" t="s">
        <v>15</v>
      </c>
      <c r="I6" s="5" t="s">
        <v>16</v>
      </c>
    </row>
    <row r="7" spans="1:9" ht="12.75">
      <c r="A7" s="18" t="s">
        <v>4</v>
      </c>
      <c r="B7" s="19">
        <f aca="true" t="shared" si="0" ref="B7:G7">B8+B9+B10</f>
        <v>4327.2</v>
      </c>
      <c r="C7" s="19">
        <f t="shared" si="0"/>
        <v>1512.81</v>
      </c>
      <c r="D7" s="19">
        <f t="shared" si="0"/>
        <v>5339.8</v>
      </c>
      <c r="E7" s="19">
        <f t="shared" si="0"/>
        <v>3267.1800000000003</v>
      </c>
      <c r="F7" s="19">
        <f t="shared" si="0"/>
        <v>1120</v>
      </c>
      <c r="G7" s="19">
        <f t="shared" si="0"/>
        <v>459.38</v>
      </c>
      <c r="H7" s="19">
        <f>B7+D7+F7</f>
        <v>10787</v>
      </c>
      <c r="I7" s="20">
        <f>C7+E7+G7</f>
        <v>5239.37</v>
      </c>
    </row>
    <row r="8" spans="1:9" ht="12.75">
      <c r="A8" s="9" t="s">
        <v>5</v>
      </c>
      <c r="B8" s="9"/>
      <c r="C8" s="21"/>
      <c r="D8" s="9"/>
      <c r="E8" s="9"/>
      <c r="F8" s="9"/>
      <c r="G8" s="9"/>
      <c r="H8" s="22">
        <f>B8+D8+F8</f>
        <v>0</v>
      </c>
      <c r="I8" s="22">
        <f>C8+E8+G8</f>
        <v>0</v>
      </c>
    </row>
    <row r="9" spans="1:9" ht="12.75">
      <c r="A9" s="9" t="s">
        <v>6</v>
      </c>
      <c r="B9" s="9"/>
      <c r="C9" s="21"/>
      <c r="D9" s="9"/>
      <c r="E9" s="9"/>
      <c r="F9" s="9"/>
      <c r="G9" s="9"/>
      <c r="H9" s="22">
        <f aca="true" t="shared" si="1" ref="H9:I18">B9+D9+F9</f>
        <v>0</v>
      </c>
      <c r="I9" s="22">
        <f t="shared" si="1"/>
        <v>0</v>
      </c>
    </row>
    <row r="10" spans="1:9" ht="12.75">
      <c r="A10" s="9" t="s">
        <v>7</v>
      </c>
      <c r="B10" s="9">
        <v>4327.2</v>
      </c>
      <c r="C10" s="21">
        <f>C11</f>
        <v>1512.81</v>
      </c>
      <c r="D10" s="9">
        <v>5339.8</v>
      </c>
      <c r="E10" s="9">
        <f>E11</f>
        <v>3267.1800000000003</v>
      </c>
      <c r="F10" s="9">
        <v>1120</v>
      </c>
      <c r="G10" s="9">
        <f>G11</f>
        <v>459.38</v>
      </c>
      <c r="H10" s="22">
        <f t="shared" si="1"/>
        <v>10787</v>
      </c>
      <c r="I10" s="22">
        <f t="shared" si="1"/>
        <v>5239.37</v>
      </c>
    </row>
    <row r="11" spans="1:9" ht="12.75">
      <c r="A11" s="13" t="s">
        <v>8</v>
      </c>
      <c r="B11" s="13">
        <f>B12+B13+B14+B15+B16+B17</f>
        <v>4327.2</v>
      </c>
      <c r="C11" s="13">
        <f aca="true" t="shared" si="2" ref="C11:I11">C12+C13+C14+C15+C16+C17</f>
        <v>1512.81</v>
      </c>
      <c r="D11" s="13">
        <f t="shared" si="2"/>
        <v>5339.799999999999</v>
      </c>
      <c r="E11" s="13">
        <f t="shared" si="2"/>
        <v>3267.1800000000003</v>
      </c>
      <c r="F11" s="13">
        <f t="shared" si="2"/>
        <v>1120</v>
      </c>
      <c r="G11" s="13">
        <f t="shared" si="2"/>
        <v>459.38</v>
      </c>
      <c r="H11" s="13">
        <f t="shared" si="2"/>
        <v>10787</v>
      </c>
      <c r="I11" s="13">
        <f t="shared" si="2"/>
        <v>5239.37</v>
      </c>
    </row>
    <row r="12" spans="1:9" ht="25.5">
      <c r="A12" s="15" t="s">
        <v>23</v>
      </c>
      <c r="B12" s="21">
        <v>3085</v>
      </c>
      <c r="C12" s="21">
        <f>97.9+220.99+200</f>
        <v>518.89</v>
      </c>
      <c r="D12" s="21">
        <v>3077.6</v>
      </c>
      <c r="E12" s="9">
        <f>315.27+130.02+151.4+174.07+250+368.95+12.3+307.3+51.5+29.4</f>
        <v>1790.21</v>
      </c>
      <c r="F12" s="9">
        <v>480</v>
      </c>
      <c r="G12" s="9">
        <f>285.58</f>
        <v>285.58</v>
      </c>
      <c r="H12" s="22">
        <f t="shared" si="1"/>
        <v>6642.6</v>
      </c>
      <c r="I12" s="22">
        <f t="shared" si="1"/>
        <v>2594.68</v>
      </c>
    </row>
    <row r="13" spans="1:9" ht="25.5">
      <c r="A13" s="15" t="s">
        <v>10</v>
      </c>
      <c r="B13" s="21">
        <v>313.7</v>
      </c>
      <c r="C13" s="21">
        <f>179.7+114+45.4+28.5</f>
        <v>367.59999999999997</v>
      </c>
      <c r="D13" s="21">
        <v>567.3</v>
      </c>
      <c r="E13" s="9">
        <f>60+104.11+20+105.8+22.7+80.4</f>
        <v>393.01</v>
      </c>
      <c r="F13" s="9">
        <v>185</v>
      </c>
      <c r="G13" s="9"/>
      <c r="H13" s="22">
        <f t="shared" si="1"/>
        <v>1066</v>
      </c>
      <c r="I13" s="22">
        <f t="shared" si="1"/>
        <v>760.6099999999999</v>
      </c>
    </row>
    <row r="14" spans="1:9" ht="25.5">
      <c r="A14" s="15" t="s">
        <v>11</v>
      </c>
      <c r="B14" s="21">
        <v>273</v>
      </c>
      <c r="C14" s="21"/>
      <c r="D14" s="21">
        <v>249.1</v>
      </c>
      <c r="E14" s="9">
        <f>69.9</f>
        <v>69.9</v>
      </c>
      <c r="F14" s="9">
        <v>0</v>
      </c>
      <c r="G14" s="9"/>
      <c r="H14" s="22">
        <f t="shared" si="1"/>
        <v>522.1</v>
      </c>
      <c r="I14" s="22">
        <f t="shared" si="1"/>
        <v>69.9</v>
      </c>
    </row>
    <row r="15" spans="1:9" ht="38.25">
      <c r="A15" s="15" t="s">
        <v>12</v>
      </c>
      <c r="B15" s="21">
        <v>655.5</v>
      </c>
      <c r="C15" s="21">
        <f>100+44.9+167.76+4.5+236.1+15.5+10+14+10+16.34+7.22</f>
        <v>626.32</v>
      </c>
      <c r="D15" s="21">
        <v>1445.8</v>
      </c>
      <c r="E15" s="9">
        <f>83.92+98.4+57+4.4+41+36.3+30.2+57+23.31+31.3+60+99.9+9.54+86.1+15+11+52+48.2+33+42+34.5+16.5+3.1+3.49+4.4+5.7+4+22.8</f>
        <v>1014.0600000000001</v>
      </c>
      <c r="F15" s="9">
        <v>455</v>
      </c>
      <c r="G15" s="21">
        <f>89.04+36.01+38.25+10.5</f>
        <v>173.8</v>
      </c>
      <c r="H15" s="22">
        <f t="shared" si="1"/>
        <v>2556.3</v>
      </c>
      <c r="I15" s="22">
        <f t="shared" si="1"/>
        <v>1814.18</v>
      </c>
    </row>
    <row r="16" spans="1:9" ht="12.75">
      <c r="A16" s="15" t="s">
        <v>13</v>
      </c>
      <c r="B16" s="21"/>
      <c r="C16" s="21"/>
      <c r="D16" s="21"/>
      <c r="E16" s="9"/>
      <c r="F16" s="9"/>
      <c r="G16" s="9"/>
      <c r="H16" s="22">
        <f t="shared" si="1"/>
        <v>0</v>
      </c>
      <c r="I16" s="22">
        <f t="shared" si="1"/>
        <v>0</v>
      </c>
    </row>
    <row r="17" spans="1:9" ht="25.5">
      <c r="A17" s="15" t="s">
        <v>18</v>
      </c>
      <c r="B17" s="21"/>
      <c r="C17" s="21"/>
      <c r="D17" s="21"/>
      <c r="E17" s="9"/>
      <c r="F17" s="9"/>
      <c r="G17" s="9"/>
      <c r="H17" s="22">
        <f t="shared" si="1"/>
        <v>0</v>
      </c>
      <c r="I17" s="22">
        <f t="shared" si="1"/>
        <v>0</v>
      </c>
    </row>
    <row r="18" spans="1:9" ht="12.75">
      <c r="A18" s="15" t="s">
        <v>14</v>
      </c>
      <c r="B18" s="21"/>
      <c r="C18" s="21"/>
      <c r="D18" s="21"/>
      <c r="E18" s="9"/>
      <c r="F18" s="9"/>
      <c r="G18" s="9"/>
      <c r="H18" s="22">
        <f t="shared" si="1"/>
        <v>0</v>
      </c>
      <c r="I18" s="22">
        <f t="shared" si="1"/>
        <v>0</v>
      </c>
    </row>
    <row r="19" spans="2:6" ht="12.75">
      <c r="B19" s="1">
        <f>B12+B13+B14+B15+B16+B17+B18</f>
        <v>4327.2</v>
      </c>
      <c r="D19" s="1">
        <f>D12+D13+D14+D15+D16+D18</f>
        <v>5339.799999999999</v>
      </c>
      <c r="F19" s="1">
        <f>F12+F13+F14+F15+F16+F18</f>
        <v>1120</v>
      </c>
    </row>
    <row r="22" spans="1:9" ht="12.75">
      <c r="A22" s="51" t="s">
        <v>31</v>
      </c>
      <c r="B22" s="51"/>
      <c r="C22" s="51"/>
      <c r="D22" s="51"/>
      <c r="E22" s="51"/>
      <c r="F22" s="51"/>
      <c r="G22" s="51"/>
      <c r="H22" s="51"/>
      <c r="I22" s="51"/>
    </row>
    <row r="25" ht="12.75">
      <c r="A25" s="1" t="s">
        <v>32</v>
      </c>
    </row>
    <row r="26" ht="12.75">
      <c r="A26" s="1" t="s">
        <v>30</v>
      </c>
    </row>
  </sheetData>
  <sheetProtection/>
  <mergeCells count="7">
    <mergeCell ref="A22:I22"/>
    <mergeCell ref="A2:I2"/>
    <mergeCell ref="A3:I3"/>
    <mergeCell ref="B5:C5"/>
    <mergeCell ref="D5:E5"/>
    <mergeCell ref="F5:G5"/>
    <mergeCell ref="H5:I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7109375" style="1" customWidth="1"/>
    <col min="2" max="2" width="13.7109375" style="1" customWidth="1"/>
    <col min="3" max="3" width="12.57421875" style="1" customWidth="1"/>
    <col min="4" max="4" width="13.00390625" style="1" customWidth="1"/>
    <col min="5" max="5" width="12.140625" style="1" customWidth="1"/>
    <col min="6" max="6" width="12.421875" style="1" customWidth="1"/>
    <col min="7" max="7" width="13.140625" style="1" customWidth="1"/>
    <col min="8" max="8" width="11.140625" style="1" customWidth="1"/>
    <col min="9" max="9" width="11.28125" style="1" customWidth="1"/>
    <col min="10" max="16384" width="9.140625" style="1" customWidth="1"/>
  </cols>
  <sheetData>
    <row r="2" spans="1:9" ht="18.75">
      <c r="A2" s="52" t="s">
        <v>0</v>
      </c>
      <c r="B2" s="52"/>
      <c r="C2" s="52"/>
      <c r="D2" s="52"/>
      <c r="E2" s="52"/>
      <c r="F2" s="52"/>
      <c r="G2" s="52"/>
      <c r="H2" s="52"/>
      <c r="I2" s="52"/>
    </row>
    <row r="3" spans="1:9" ht="18.75">
      <c r="A3" s="52" t="s">
        <v>35</v>
      </c>
      <c r="B3" s="52"/>
      <c r="C3" s="52"/>
      <c r="D3" s="52"/>
      <c r="E3" s="52"/>
      <c r="F3" s="52"/>
      <c r="G3" s="52"/>
      <c r="H3" s="52"/>
      <c r="I3" s="52"/>
    </row>
    <row r="4" ht="13.5" thickBot="1"/>
    <row r="5" spans="1:9" ht="39" customHeight="1" thickBot="1">
      <c r="A5" s="2"/>
      <c r="B5" s="53" t="s">
        <v>1</v>
      </c>
      <c r="C5" s="54"/>
      <c r="D5" s="55" t="s">
        <v>2</v>
      </c>
      <c r="E5" s="56"/>
      <c r="F5" s="53" t="s">
        <v>3</v>
      </c>
      <c r="G5" s="54"/>
      <c r="H5" s="57" t="s">
        <v>17</v>
      </c>
      <c r="I5" s="58"/>
    </row>
    <row r="6" spans="1:9" ht="20.25" customHeight="1" thickBot="1">
      <c r="A6" s="2"/>
      <c r="B6" s="3" t="s">
        <v>15</v>
      </c>
      <c r="C6" s="4" t="s">
        <v>16</v>
      </c>
      <c r="D6" s="3" t="s">
        <v>15</v>
      </c>
      <c r="E6" s="4" t="s">
        <v>16</v>
      </c>
      <c r="F6" s="3" t="s">
        <v>15</v>
      </c>
      <c r="G6" s="4" t="s">
        <v>16</v>
      </c>
      <c r="H6" s="3" t="s">
        <v>15</v>
      </c>
      <c r="I6" s="5" t="s">
        <v>16</v>
      </c>
    </row>
    <row r="7" spans="1:9" ht="12.75">
      <c r="A7" s="18" t="s">
        <v>4</v>
      </c>
      <c r="B7" s="19">
        <f aca="true" t="shared" si="0" ref="B7:G7">B8+B9+B10</f>
        <v>7650.2</v>
      </c>
      <c r="C7" s="19">
        <f t="shared" si="0"/>
        <v>4436.6</v>
      </c>
      <c r="D7" s="19">
        <f t="shared" si="0"/>
        <v>8691.4</v>
      </c>
      <c r="E7" s="19">
        <f t="shared" si="0"/>
        <v>5347.4</v>
      </c>
      <c r="F7" s="19">
        <f t="shared" si="0"/>
        <v>12313.3</v>
      </c>
      <c r="G7" s="19">
        <f t="shared" si="0"/>
        <v>282.6</v>
      </c>
      <c r="H7" s="19">
        <f>B7+D7+F7</f>
        <v>28654.899999999998</v>
      </c>
      <c r="I7" s="20">
        <f>C7+E7+G7</f>
        <v>10066.6</v>
      </c>
    </row>
    <row r="8" spans="1:9" ht="12.75">
      <c r="A8" s="9" t="s">
        <v>5</v>
      </c>
      <c r="B8" s="9"/>
      <c r="C8" s="21"/>
      <c r="D8" s="9"/>
      <c r="E8" s="9"/>
      <c r="F8" s="9"/>
      <c r="G8" s="9"/>
      <c r="H8" s="22">
        <f>B8+D8+F8</f>
        <v>0</v>
      </c>
      <c r="I8" s="22">
        <f>C8+E8+G8</f>
        <v>0</v>
      </c>
    </row>
    <row r="9" spans="1:9" ht="12.75">
      <c r="A9" s="9" t="s">
        <v>6</v>
      </c>
      <c r="B9" s="9">
        <v>1949.3</v>
      </c>
      <c r="C9" s="21">
        <v>686.6</v>
      </c>
      <c r="D9" s="9">
        <v>994.8</v>
      </c>
      <c r="E9" s="9">
        <v>720.4</v>
      </c>
      <c r="F9" s="9">
        <v>0</v>
      </c>
      <c r="G9" s="9"/>
      <c r="H9" s="22">
        <f aca="true" t="shared" si="1" ref="H9:I18">B9+D9+F9</f>
        <v>2944.1</v>
      </c>
      <c r="I9" s="22">
        <f t="shared" si="1"/>
        <v>1407</v>
      </c>
    </row>
    <row r="10" spans="1:9" ht="12.75">
      <c r="A10" s="9" t="s">
        <v>7</v>
      </c>
      <c r="B10" s="9">
        <v>5700.9</v>
      </c>
      <c r="C10" s="21">
        <v>3750</v>
      </c>
      <c r="D10" s="9">
        <v>7696.6</v>
      </c>
      <c r="E10" s="9">
        <v>4627</v>
      </c>
      <c r="F10" s="9">
        <v>12313.3</v>
      </c>
      <c r="G10" s="9">
        <f>G11</f>
        <v>282.6</v>
      </c>
      <c r="H10" s="22">
        <f t="shared" si="1"/>
        <v>25710.8</v>
      </c>
      <c r="I10" s="22">
        <f t="shared" si="1"/>
        <v>8659.6</v>
      </c>
    </row>
    <row r="11" spans="1:9" ht="12.75">
      <c r="A11" s="13" t="s">
        <v>8</v>
      </c>
      <c r="B11" s="13">
        <f>B12+B13+B14+B15+B16+B17</f>
        <v>7650.2</v>
      </c>
      <c r="C11" s="13">
        <f aca="true" t="shared" si="2" ref="C11:I11">C12+C13+C14+C15+C16+C17</f>
        <v>4436.599999999999</v>
      </c>
      <c r="D11" s="13">
        <f t="shared" si="2"/>
        <v>8691.400000000001</v>
      </c>
      <c r="E11" s="13">
        <f t="shared" si="2"/>
        <v>5347.4</v>
      </c>
      <c r="F11" s="13">
        <f t="shared" si="2"/>
        <v>12313.300000000001</v>
      </c>
      <c r="G11" s="13">
        <f t="shared" si="2"/>
        <v>282.6</v>
      </c>
      <c r="H11" s="13">
        <f t="shared" si="2"/>
        <v>28654.9</v>
      </c>
      <c r="I11" s="13">
        <f t="shared" si="2"/>
        <v>10066.6</v>
      </c>
    </row>
    <row r="12" spans="1:9" ht="25.5">
      <c r="A12" s="15" t="s">
        <v>23</v>
      </c>
      <c r="B12" s="21">
        <v>4151.7</v>
      </c>
      <c r="C12" s="21">
        <v>2724.5</v>
      </c>
      <c r="D12" s="21">
        <v>4309</v>
      </c>
      <c r="E12" s="9">
        <v>2860.6</v>
      </c>
      <c r="F12" s="9">
        <v>11592.7</v>
      </c>
      <c r="G12" s="9">
        <v>78.5</v>
      </c>
      <c r="H12" s="22">
        <f t="shared" si="1"/>
        <v>20053.4</v>
      </c>
      <c r="I12" s="22">
        <f t="shared" si="1"/>
        <v>5663.6</v>
      </c>
    </row>
    <row r="13" spans="1:9" ht="25.5">
      <c r="A13" s="15" t="s">
        <v>10</v>
      </c>
      <c r="B13" s="21">
        <v>791.5</v>
      </c>
      <c r="C13" s="21">
        <v>531.8</v>
      </c>
      <c r="D13" s="21">
        <v>991.8</v>
      </c>
      <c r="E13" s="9">
        <v>542.6</v>
      </c>
      <c r="F13" s="9">
        <v>60.9</v>
      </c>
      <c r="G13" s="9">
        <v>47.2</v>
      </c>
      <c r="H13" s="22">
        <f t="shared" si="1"/>
        <v>1844.2</v>
      </c>
      <c r="I13" s="22">
        <f t="shared" si="1"/>
        <v>1121.6000000000001</v>
      </c>
    </row>
    <row r="14" spans="1:9" ht="25.5">
      <c r="A14" s="15" t="s">
        <v>11</v>
      </c>
      <c r="B14" s="21">
        <v>314.8</v>
      </c>
      <c r="C14" s="21">
        <v>286.6</v>
      </c>
      <c r="D14" s="21">
        <v>637.6</v>
      </c>
      <c r="E14" s="9">
        <v>538.3</v>
      </c>
      <c r="F14" s="9">
        <v>409.6</v>
      </c>
      <c r="G14" s="9">
        <v>140.8</v>
      </c>
      <c r="H14" s="22">
        <f t="shared" si="1"/>
        <v>1362</v>
      </c>
      <c r="I14" s="22">
        <f t="shared" si="1"/>
        <v>965.7</v>
      </c>
    </row>
    <row r="15" spans="1:9" ht="38.25">
      <c r="A15" s="15" t="s">
        <v>12</v>
      </c>
      <c r="B15" s="21">
        <v>1699.9</v>
      </c>
      <c r="C15" s="21">
        <v>748.5</v>
      </c>
      <c r="D15" s="21">
        <v>2533</v>
      </c>
      <c r="E15" s="9">
        <v>1185.9</v>
      </c>
      <c r="F15" s="9">
        <v>250.1</v>
      </c>
      <c r="G15" s="21">
        <v>16.1</v>
      </c>
      <c r="H15" s="22">
        <f t="shared" si="1"/>
        <v>4483</v>
      </c>
      <c r="I15" s="22">
        <f t="shared" si="1"/>
        <v>1950.5</v>
      </c>
    </row>
    <row r="16" spans="1:9" ht="12.75">
      <c r="A16" s="15" t="s">
        <v>13</v>
      </c>
      <c r="B16" s="21">
        <v>692.3</v>
      </c>
      <c r="C16" s="21">
        <v>145.2</v>
      </c>
      <c r="D16" s="21">
        <v>193.7</v>
      </c>
      <c r="E16" s="9">
        <v>193.7</v>
      </c>
      <c r="F16" s="9">
        <v>0</v>
      </c>
      <c r="G16" s="9"/>
      <c r="H16" s="22">
        <f t="shared" si="1"/>
        <v>886</v>
      </c>
      <c r="I16" s="22">
        <f t="shared" si="1"/>
        <v>338.9</v>
      </c>
    </row>
    <row r="17" spans="1:9" ht="25.5">
      <c r="A17" s="15" t="s">
        <v>18</v>
      </c>
      <c r="B17" s="21">
        <v>0</v>
      </c>
      <c r="C17" s="21">
        <v>0</v>
      </c>
      <c r="D17" s="21">
        <v>26.3</v>
      </c>
      <c r="E17" s="21">
        <v>26.3</v>
      </c>
      <c r="F17" s="9">
        <v>0</v>
      </c>
      <c r="G17" s="9"/>
      <c r="H17" s="22">
        <f t="shared" si="1"/>
        <v>26.3</v>
      </c>
      <c r="I17" s="22">
        <f t="shared" si="1"/>
        <v>26.3</v>
      </c>
    </row>
    <row r="18" spans="1:9" ht="12.75">
      <c r="A18" s="15" t="s">
        <v>14</v>
      </c>
      <c r="B18" s="21">
        <v>0</v>
      </c>
      <c r="C18" s="21">
        <v>0</v>
      </c>
      <c r="D18" s="21">
        <v>0</v>
      </c>
      <c r="E18" s="21">
        <v>0</v>
      </c>
      <c r="F18" s="9"/>
      <c r="G18" s="9"/>
      <c r="H18" s="22">
        <f t="shared" si="1"/>
        <v>0</v>
      </c>
      <c r="I18" s="22">
        <f t="shared" si="1"/>
        <v>0</v>
      </c>
    </row>
    <row r="19" spans="2:6" ht="12.75">
      <c r="B19" s="1">
        <f>B12+B13+B14+B15+B16+B17+B18</f>
        <v>7650.2</v>
      </c>
      <c r="D19" s="1">
        <f>D12+D13+D14+D15+D16+D17</f>
        <v>8691.400000000001</v>
      </c>
      <c r="F19" s="1">
        <f>F12+F13+F14+F15+F16+F18</f>
        <v>12313.300000000001</v>
      </c>
    </row>
    <row r="22" spans="1:9" ht="12.75">
      <c r="A22" s="51" t="s">
        <v>31</v>
      </c>
      <c r="B22" s="51"/>
      <c r="C22" s="51"/>
      <c r="D22" s="51"/>
      <c r="E22" s="51"/>
      <c r="F22" s="51"/>
      <c r="G22" s="51"/>
      <c r="H22" s="51"/>
      <c r="I22" s="51"/>
    </row>
    <row r="25" ht="12.75">
      <c r="A25" s="1" t="s">
        <v>32</v>
      </c>
    </row>
    <row r="26" ht="12.75">
      <c r="A26" s="1" t="s">
        <v>30</v>
      </c>
    </row>
  </sheetData>
  <sheetProtection/>
  <mergeCells count="7">
    <mergeCell ref="A22:I22"/>
    <mergeCell ref="A2:I2"/>
    <mergeCell ref="A3:I3"/>
    <mergeCell ref="B5:C5"/>
    <mergeCell ref="D5:E5"/>
    <mergeCell ref="F5:G5"/>
    <mergeCell ref="H5:I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7109375" style="1" customWidth="1"/>
    <col min="2" max="2" width="13.7109375" style="1" customWidth="1"/>
    <col min="3" max="3" width="12.57421875" style="1" customWidth="1"/>
    <col min="4" max="4" width="13.00390625" style="1" customWidth="1"/>
    <col min="5" max="5" width="12.140625" style="1" customWidth="1"/>
    <col min="6" max="6" width="12.421875" style="1" customWidth="1"/>
    <col min="7" max="7" width="13.140625" style="1" customWidth="1"/>
    <col min="8" max="8" width="11.140625" style="1" customWidth="1"/>
    <col min="9" max="9" width="11.28125" style="1" customWidth="1"/>
    <col min="10" max="16384" width="9.140625" style="1" customWidth="1"/>
  </cols>
  <sheetData>
    <row r="2" spans="1:9" ht="18.75">
      <c r="A2" s="52" t="s">
        <v>0</v>
      </c>
      <c r="B2" s="52"/>
      <c r="C2" s="52"/>
      <c r="D2" s="52"/>
      <c r="E2" s="52"/>
      <c r="F2" s="52"/>
      <c r="G2" s="52"/>
      <c r="H2" s="52"/>
      <c r="I2" s="52"/>
    </row>
    <row r="3" spans="1:9" ht="18.75">
      <c r="A3" s="52" t="s">
        <v>36</v>
      </c>
      <c r="B3" s="52"/>
      <c r="C3" s="52"/>
      <c r="D3" s="52"/>
      <c r="E3" s="52"/>
      <c r="F3" s="52"/>
      <c r="G3" s="52"/>
      <c r="H3" s="52"/>
      <c r="I3" s="52"/>
    </row>
    <row r="4" ht="13.5" thickBot="1"/>
    <row r="5" spans="1:9" ht="39" customHeight="1" thickBot="1">
      <c r="A5" s="2"/>
      <c r="B5" s="53" t="s">
        <v>1</v>
      </c>
      <c r="C5" s="54"/>
      <c r="D5" s="55" t="s">
        <v>2</v>
      </c>
      <c r="E5" s="56"/>
      <c r="F5" s="53" t="s">
        <v>3</v>
      </c>
      <c r="G5" s="54"/>
      <c r="H5" s="57" t="s">
        <v>17</v>
      </c>
      <c r="I5" s="58"/>
    </row>
    <row r="6" spans="1:9" ht="20.25" customHeight="1" thickBot="1">
      <c r="A6" s="2"/>
      <c r="B6" s="3" t="s">
        <v>15</v>
      </c>
      <c r="C6" s="4" t="s">
        <v>16</v>
      </c>
      <c r="D6" s="3" t="s">
        <v>15</v>
      </c>
      <c r="E6" s="4" t="s">
        <v>16</v>
      </c>
      <c r="F6" s="3" t="s">
        <v>15</v>
      </c>
      <c r="G6" s="4" t="s">
        <v>16</v>
      </c>
      <c r="H6" s="3" t="s">
        <v>15</v>
      </c>
      <c r="I6" s="5" t="s">
        <v>16</v>
      </c>
    </row>
    <row r="7" spans="1:9" ht="12.75">
      <c r="A7" s="6" t="s">
        <v>4</v>
      </c>
      <c r="B7" s="7">
        <f aca="true" t="shared" si="0" ref="B7:G7">B8+B9+B10</f>
        <v>8957.8</v>
      </c>
      <c r="C7" s="7">
        <f t="shared" si="0"/>
        <v>6776.5</v>
      </c>
      <c r="D7" s="7">
        <f t="shared" si="0"/>
        <v>4530.299999999999</v>
      </c>
      <c r="E7" s="7">
        <f t="shared" si="0"/>
        <v>3470.2000000000003</v>
      </c>
      <c r="F7" s="7">
        <f t="shared" si="0"/>
        <v>6393</v>
      </c>
      <c r="G7" s="7">
        <f t="shared" si="0"/>
        <v>6006</v>
      </c>
      <c r="H7" s="7">
        <f>B7+D7+F7</f>
        <v>19881.1</v>
      </c>
      <c r="I7" s="8">
        <f>C7+E7+G7</f>
        <v>16252.7</v>
      </c>
    </row>
    <row r="8" spans="1:9" ht="12.75">
      <c r="A8" s="9" t="s">
        <v>5</v>
      </c>
      <c r="B8" s="10"/>
      <c r="C8" s="11"/>
      <c r="D8" s="10"/>
      <c r="E8" s="10"/>
      <c r="F8" s="10"/>
      <c r="G8" s="10"/>
      <c r="H8" s="10">
        <f>B8+D8+F8</f>
        <v>0</v>
      </c>
      <c r="I8" s="10">
        <f>C8+E8+G8</f>
        <v>0</v>
      </c>
    </row>
    <row r="9" spans="1:9" ht="12.75">
      <c r="A9" s="9" t="s">
        <v>6</v>
      </c>
      <c r="B9" s="10">
        <f>959.7+232.4</f>
        <v>1192.1000000000001</v>
      </c>
      <c r="C9" s="11">
        <f>921+147.7</f>
        <v>1068.7</v>
      </c>
      <c r="D9" s="10">
        <f>44.9</f>
        <v>44.9</v>
      </c>
      <c r="E9" s="10">
        <f>44.9</f>
        <v>44.9</v>
      </c>
      <c r="F9" s="10"/>
      <c r="G9" s="10"/>
      <c r="H9" s="10">
        <f aca="true" t="shared" si="1" ref="H9:I18">B9+D9+F9</f>
        <v>1237.0000000000002</v>
      </c>
      <c r="I9" s="10">
        <f t="shared" si="1"/>
        <v>1113.6000000000001</v>
      </c>
    </row>
    <row r="10" spans="1:9" ht="12.75">
      <c r="A10" s="9" t="s">
        <v>7</v>
      </c>
      <c r="B10" s="10">
        <v>7765.7</v>
      </c>
      <c r="C10" s="11">
        <v>5707.8</v>
      </c>
      <c r="D10" s="10">
        <v>4485.4</v>
      </c>
      <c r="E10" s="10">
        <v>3425.3</v>
      </c>
      <c r="F10" s="12">
        <v>6393</v>
      </c>
      <c r="G10" s="12">
        <v>6006</v>
      </c>
      <c r="H10" s="10">
        <f t="shared" si="1"/>
        <v>18644.1</v>
      </c>
      <c r="I10" s="10">
        <f t="shared" si="1"/>
        <v>15139.1</v>
      </c>
    </row>
    <row r="11" spans="1:9" ht="12.75">
      <c r="A11" s="13" t="s">
        <v>8</v>
      </c>
      <c r="B11" s="14">
        <f aca="true" t="shared" si="2" ref="B11:I11">SUM(B12:B18)</f>
        <v>8957.799999999997</v>
      </c>
      <c r="C11" s="14">
        <f t="shared" si="2"/>
        <v>6776.5</v>
      </c>
      <c r="D11" s="14">
        <f t="shared" si="2"/>
        <v>4530.3</v>
      </c>
      <c r="E11" s="14">
        <f t="shared" si="2"/>
        <v>3470.2</v>
      </c>
      <c r="F11" s="14">
        <f t="shared" si="2"/>
        <v>6393</v>
      </c>
      <c r="G11" s="14">
        <f t="shared" si="2"/>
        <v>6006</v>
      </c>
      <c r="H11" s="14">
        <f t="shared" si="2"/>
        <v>19881.1</v>
      </c>
      <c r="I11" s="14">
        <f t="shared" si="2"/>
        <v>16252.699999999999</v>
      </c>
    </row>
    <row r="12" spans="1:9" ht="25.5">
      <c r="A12" s="15" t="s">
        <v>23</v>
      </c>
      <c r="B12" s="11">
        <v>8160.4</v>
      </c>
      <c r="C12" s="11">
        <v>6089.4</v>
      </c>
      <c r="D12" s="11">
        <v>2539.7</v>
      </c>
      <c r="E12" s="10">
        <v>2403.7</v>
      </c>
      <c r="F12" s="10">
        <v>6188.9</v>
      </c>
      <c r="G12" s="10">
        <v>5888.9</v>
      </c>
      <c r="H12" s="16">
        <f t="shared" si="1"/>
        <v>16889</v>
      </c>
      <c r="I12" s="16">
        <f t="shared" si="1"/>
        <v>14381.999999999998</v>
      </c>
    </row>
    <row r="13" spans="1:9" ht="25.5">
      <c r="A13" s="15" t="s">
        <v>10</v>
      </c>
      <c r="B13" s="11">
        <f>60</f>
        <v>60</v>
      </c>
      <c r="C13" s="11">
        <f>35</f>
        <v>35</v>
      </c>
      <c r="D13" s="11">
        <v>332.3</v>
      </c>
      <c r="E13" s="10">
        <f>30.7+24+7.6+13+27.6+60.9+42+5.6</f>
        <v>211.4</v>
      </c>
      <c r="F13" s="10">
        <v>104.8</v>
      </c>
      <c r="G13" s="10">
        <f>25.2+4.2+34.2</f>
        <v>63.6</v>
      </c>
      <c r="H13" s="16">
        <f t="shared" si="1"/>
        <v>497.1</v>
      </c>
      <c r="I13" s="16">
        <f t="shared" si="1"/>
        <v>310</v>
      </c>
    </row>
    <row r="14" spans="1:9" ht="25.5">
      <c r="A14" s="15" t="s">
        <v>11</v>
      </c>
      <c r="B14" s="11">
        <f>20.3</f>
        <v>20.3</v>
      </c>
      <c r="C14" s="11">
        <f>11.3</f>
        <v>11.3</v>
      </c>
      <c r="D14" s="11">
        <v>712.1</v>
      </c>
      <c r="E14" s="10">
        <f>10.2+151.2+22.6+202.1</f>
        <v>386.09999999999997</v>
      </c>
      <c r="F14" s="10">
        <v>43.2</v>
      </c>
      <c r="G14" s="10">
        <f>30+2.5</f>
        <v>32.5</v>
      </c>
      <c r="H14" s="16">
        <f t="shared" si="1"/>
        <v>775.6</v>
      </c>
      <c r="I14" s="16">
        <f t="shared" si="1"/>
        <v>429.9</v>
      </c>
    </row>
    <row r="15" spans="1:9" ht="38.25">
      <c r="A15" s="15" t="s">
        <v>12</v>
      </c>
      <c r="B15" s="11">
        <f>102.9+5.4</f>
        <v>108.30000000000001</v>
      </c>
      <c r="C15" s="11">
        <f>68.7+5.4</f>
        <v>74.10000000000001</v>
      </c>
      <c r="D15" s="11">
        <v>600</v>
      </c>
      <c r="E15" s="10">
        <f>66.6+109.9+292.5</f>
        <v>469</v>
      </c>
      <c r="F15" s="10">
        <v>56.1</v>
      </c>
      <c r="G15" s="11">
        <f>3.4+17.6</f>
        <v>21</v>
      </c>
      <c r="H15" s="16">
        <f t="shared" si="1"/>
        <v>764.4</v>
      </c>
      <c r="I15" s="16">
        <f t="shared" si="1"/>
        <v>564.1</v>
      </c>
    </row>
    <row r="16" spans="1:9" ht="12.75">
      <c r="A16" s="15" t="s">
        <v>13</v>
      </c>
      <c r="B16" s="11">
        <f>206.7+169.7+232.4</f>
        <v>608.8</v>
      </c>
      <c r="C16" s="11">
        <f>206.7+133.3+61.4+17.6+147.7</f>
        <v>566.7</v>
      </c>
      <c r="D16" s="11">
        <f>346.2</f>
        <v>346.2</v>
      </c>
      <c r="E16" s="10"/>
      <c r="F16" s="10">
        <v>0</v>
      </c>
      <c r="G16" s="10">
        <v>0</v>
      </c>
      <c r="H16" s="16">
        <f t="shared" si="1"/>
        <v>955</v>
      </c>
      <c r="I16" s="16">
        <f t="shared" si="1"/>
        <v>566.7</v>
      </c>
    </row>
    <row r="17" spans="1:9" ht="25.5">
      <c r="A17" s="15" t="s">
        <v>18</v>
      </c>
      <c r="B17" s="11">
        <v>0</v>
      </c>
      <c r="C17" s="11">
        <v>0</v>
      </c>
      <c r="D17" s="11"/>
      <c r="E17" s="11"/>
      <c r="F17" s="10">
        <v>0</v>
      </c>
      <c r="G17" s="10">
        <v>0</v>
      </c>
      <c r="H17" s="16">
        <f t="shared" si="1"/>
        <v>0</v>
      </c>
      <c r="I17" s="16">
        <f t="shared" si="1"/>
        <v>0</v>
      </c>
    </row>
    <row r="18" spans="1:9" ht="12.75">
      <c r="A18" s="15" t="s">
        <v>14</v>
      </c>
      <c r="B18" s="11">
        <v>0</v>
      </c>
      <c r="C18" s="11">
        <v>0</v>
      </c>
      <c r="D18" s="11">
        <v>0</v>
      </c>
      <c r="E18" s="11">
        <v>0</v>
      </c>
      <c r="F18" s="10">
        <v>0</v>
      </c>
      <c r="G18" s="10">
        <v>0</v>
      </c>
      <c r="H18" s="16">
        <f t="shared" si="1"/>
        <v>0</v>
      </c>
      <c r="I18" s="16">
        <f t="shared" si="1"/>
        <v>0</v>
      </c>
    </row>
    <row r="19" spans="2:9" ht="12.75">
      <c r="B19" s="17">
        <f>B7-B11</f>
        <v>0</v>
      </c>
      <c r="C19" s="17">
        <f aca="true" t="shared" si="3" ref="C19:I19">C7-C11</f>
        <v>0</v>
      </c>
      <c r="D19" s="17">
        <f t="shared" si="3"/>
        <v>0</v>
      </c>
      <c r="E19" s="17">
        <f t="shared" si="3"/>
        <v>0</v>
      </c>
      <c r="F19" s="17">
        <f t="shared" si="3"/>
        <v>0</v>
      </c>
      <c r="G19" s="17">
        <f t="shared" si="3"/>
        <v>0</v>
      </c>
      <c r="H19" s="17">
        <f t="shared" si="3"/>
        <v>0</v>
      </c>
      <c r="I19" s="17">
        <f t="shared" si="3"/>
        <v>0</v>
      </c>
    </row>
    <row r="22" spans="1:9" ht="12.75">
      <c r="A22" s="51" t="s">
        <v>31</v>
      </c>
      <c r="B22" s="51"/>
      <c r="C22" s="51"/>
      <c r="D22" s="51"/>
      <c r="E22" s="51"/>
      <c r="F22" s="51"/>
      <c r="G22" s="51"/>
      <c r="H22" s="51"/>
      <c r="I22" s="51"/>
    </row>
    <row r="23" ht="12.75">
      <c r="A23" s="1" t="s">
        <v>37</v>
      </c>
    </row>
  </sheetData>
  <sheetProtection/>
  <mergeCells count="7">
    <mergeCell ref="A22:I22"/>
    <mergeCell ref="A2:I2"/>
    <mergeCell ref="A3:I3"/>
    <mergeCell ref="B5:C5"/>
    <mergeCell ref="D5:E5"/>
    <mergeCell ref="F5:G5"/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3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26.7109375" style="1" customWidth="1"/>
    <col min="2" max="2" width="13.7109375" style="1" customWidth="1"/>
    <col min="3" max="3" width="12.57421875" style="1" customWidth="1"/>
    <col min="4" max="4" width="13.00390625" style="1" customWidth="1"/>
    <col min="5" max="5" width="12.140625" style="1" customWidth="1"/>
    <col min="6" max="6" width="12.421875" style="1" customWidth="1"/>
    <col min="7" max="7" width="13.140625" style="1" customWidth="1"/>
    <col min="8" max="8" width="11.140625" style="1" customWidth="1"/>
    <col min="9" max="9" width="11.28125" style="1" customWidth="1"/>
    <col min="10" max="16384" width="9.140625" style="1" customWidth="1"/>
  </cols>
  <sheetData>
    <row r="2" spans="1:9" ht="18.75">
      <c r="A2" s="52" t="s">
        <v>0</v>
      </c>
      <c r="B2" s="52"/>
      <c r="C2" s="52"/>
      <c r="D2" s="52"/>
      <c r="E2" s="52"/>
      <c r="F2" s="52"/>
      <c r="G2" s="52"/>
      <c r="H2" s="52"/>
      <c r="I2" s="52"/>
    </row>
    <row r="3" spans="1:9" ht="18.75">
      <c r="A3" s="52" t="s">
        <v>38</v>
      </c>
      <c r="B3" s="52"/>
      <c r="C3" s="52"/>
      <c r="D3" s="52"/>
      <c r="E3" s="52"/>
      <c r="F3" s="52"/>
      <c r="G3" s="52"/>
      <c r="H3" s="52"/>
      <c r="I3" s="52"/>
    </row>
    <row r="4" ht="13.5" thickBot="1"/>
    <row r="5" spans="1:9" ht="39" customHeight="1" thickBot="1">
      <c r="A5" s="2"/>
      <c r="B5" s="53" t="s">
        <v>1</v>
      </c>
      <c r="C5" s="54"/>
      <c r="D5" s="55" t="s">
        <v>2</v>
      </c>
      <c r="E5" s="56"/>
      <c r="F5" s="53" t="s">
        <v>3</v>
      </c>
      <c r="G5" s="54"/>
      <c r="H5" s="57" t="s">
        <v>17</v>
      </c>
      <c r="I5" s="58"/>
    </row>
    <row r="6" spans="1:9" ht="20.25" customHeight="1" thickBot="1">
      <c r="A6" s="2"/>
      <c r="B6" s="3" t="s">
        <v>15</v>
      </c>
      <c r="C6" s="4" t="s">
        <v>16</v>
      </c>
      <c r="D6" s="3" t="s">
        <v>15</v>
      </c>
      <c r="E6" s="4" t="s">
        <v>16</v>
      </c>
      <c r="F6" s="3" t="s">
        <v>15</v>
      </c>
      <c r="G6" s="4" t="s">
        <v>16</v>
      </c>
      <c r="H6" s="3" t="s">
        <v>15</v>
      </c>
      <c r="I6" s="5" t="s">
        <v>16</v>
      </c>
    </row>
    <row r="7" spans="1:9" ht="12.75">
      <c r="A7" s="6" t="s">
        <v>4</v>
      </c>
      <c r="B7" s="7">
        <f aca="true" t="shared" si="0" ref="B7:G7">B8+B9+B10</f>
        <v>13579.7</v>
      </c>
      <c r="C7" s="7">
        <f t="shared" si="0"/>
        <v>1933.4</v>
      </c>
      <c r="D7" s="7">
        <f t="shared" si="0"/>
        <v>3453.3</v>
      </c>
      <c r="E7" s="7">
        <f t="shared" si="0"/>
        <v>1596.7</v>
      </c>
      <c r="F7" s="7">
        <f t="shared" si="0"/>
        <v>1472.2</v>
      </c>
      <c r="G7" s="7">
        <f t="shared" si="0"/>
        <v>161.47</v>
      </c>
      <c r="H7" s="7">
        <f>B7+D7+F7</f>
        <v>18505.2</v>
      </c>
      <c r="I7" s="8">
        <f>C7+E7+G7</f>
        <v>3691.57</v>
      </c>
    </row>
    <row r="8" spans="1:9" ht="12.75">
      <c r="A8" s="9" t="s">
        <v>5</v>
      </c>
      <c r="B8" s="10"/>
      <c r="C8" s="11"/>
      <c r="D8" s="10"/>
      <c r="E8" s="10"/>
      <c r="F8" s="10">
        <v>750</v>
      </c>
      <c r="G8" s="10">
        <v>0</v>
      </c>
      <c r="H8" s="10">
        <f>B8+D8+F8</f>
        <v>750</v>
      </c>
      <c r="I8" s="10">
        <f>C8+E8+G8</f>
        <v>0</v>
      </c>
    </row>
    <row r="9" spans="1:9" ht="12.75">
      <c r="A9" s="9" t="s">
        <v>6</v>
      </c>
      <c r="B9" s="10">
        <f>909.3+584.6+1778+5131.8</f>
        <v>8403.7</v>
      </c>
      <c r="C9" s="11">
        <f>198.3+357.7+889</f>
        <v>1445</v>
      </c>
      <c r="D9" s="10">
        <f>778.9+658.5</f>
        <v>1437.4</v>
      </c>
      <c r="E9" s="10">
        <f>95.2+597.9</f>
        <v>693.1</v>
      </c>
      <c r="F9" s="10">
        <v>250</v>
      </c>
      <c r="G9" s="10">
        <v>0</v>
      </c>
      <c r="H9" s="10">
        <f aca="true" t="shared" si="1" ref="H9:I18">B9+D9+F9</f>
        <v>10091.1</v>
      </c>
      <c r="I9" s="10">
        <f t="shared" si="1"/>
        <v>2138.1</v>
      </c>
    </row>
    <row r="10" spans="1:9" ht="12.75">
      <c r="A10" s="9" t="s">
        <v>7</v>
      </c>
      <c r="B10" s="10">
        <f>915.6+3434.2+570.2+46+210</f>
        <v>5176</v>
      </c>
      <c r="C10" s="11">
        <f>46+442.4</f>
        <v>488.4</v>
      </c>
      <c r="D10" s="10">
        <f>1655.9+360</f>
        <v>2015.9</v>
      </c>
      <c r="E10" s="10">
        <f>614.6+289</f>
        <v>903.6</v>
      </c>
      <c r="F10" s="12">
        <f>50+120+242.2+60</f>
        <v>472.2</v>
      </c>
      <c r="G10" s="12">
        <v>161.47</v>
      </c>
      <c r="H10" s="10">
        <f t="shared" si="1"/>
        <v>7664.099999999999</v>
      </c>
      <c r="I10" s="10">
        <f t="shared" si="1"/>
        <v>1553.47</v>
      </c>
    </row>
    <row r="11" spans="1:9" ht="12.75">
      <c r="A11" s="13" t="s">
        <v>8</v>
      </c>
      <c r="B11" s="14">
        <f aca="true" t="shared" si="2" ref="B11:I11">SUM(B12:B18)</f>
        <v>13579.7</v>
      </c>
      <c r="C11" s="14">
        <f t="shared" si="2"/>
        <v>1933.4</v>
      </c>
      <c r="D11" s="14">
        <f t="shared" si="2"/>
        <v>3453.3</v>
      </c>
      <c r="E11" s="14">
        <f t="shared" si="2"/>
        <v>1596.7</v>
      </c>
      <c r="F11" s="14">
        <f t="shared" si="2"/>
        <v>1472.2</v>
      </c>
      <c r="G11" s="14">
        <f t="shared" si="2"/>
        <v>161.47</v>
      </c>
      <c r="H11" s="14">
        <f t="shared" si="2"/>
        <v>18505.199999999997</v>
      </c>
      <c r="I11" s="14">
        <f t="shared" si="2"/>
        <v>3691.5699999999997</v>
      </c>
    </row>
    <row r="12" spans="1:9" ht="25.5">
      <c r="A12" s="15" t="s">
        <v>23</v>
      </c>
      <c r="B12" s="49">
        <f>909.3+46+3434.2+5702+210</f>
        <v>10301.5</v>
      </c>
      <c r="C12" s="49">
        <f>198.3+46</f>
        <v>244.3</v>
      </c>
      <c r="D12" s="49">
        <f>98.7+84+76.8+360</f>
        <v>619.5</v>
      </c>
      <c r="E12" s="49">
        <v>0</v>
      </c>
      <c r="F12" s="49">
        <f>1050+120+60</f>
        <v>1230</v>
      </c>
      <c r="G12" s="49">
        <v>0</v>
      </c>
      <c r="H12" s="16">
        <f t="shared" si="1"/>
        <v>12151</v>
      </c>
      <c r="I12" s="16">
        <f t="shared" si="1"/>
        <v>244.3</v>
      </c>
    </row>
    <row r="13" spans="1:9" ht="25.5">
      <c r="A13" s="15" t="s">
        <v>10</v>
      </c>
      <c r="B13" s="49">
        <v>373.2</v>
      </c>
      <c r="C13" s="49">
        <v>248.8</v>
      </c>
      <c r="D13" s="49">
        <v>611.1</v>
      </c>
      <c r="E13" s="49">
        <v>407.4</v>
      </c>
      <c r="F13" s="49">
        <f>7.2+51.3+18</f>
        <v>76.5</v>
      </c>
      <c r="G13" s="49">
        <v>51</v>
      </c>
      <c r="H13" s="16">
        <f t="shared" si="1"/>
        <v>1060.8</v>
      </c>
      <c r="I13" s="16">
        <f t="shared" si="1"/>
        <v>707.2</v>
      </c>
    </row>
    <row r="14" spans="1:9" ht="25.5">
      <c r="A14" s="15" t="s">
        <v>11</v>
      </c>
      <c r="B14" s="49">
        <v>290.4</v>
      </c>
      <c r="C14" s="49">
        <v>193.6</v>
      </c>
      <c r="D14" s="49">
        <f>274.2+36.6</f>
        <v>310.8</v>
      </c>
      <c r="E14" s="49">
        <v>207.2</v>
      </c>
      <c r="F14" s="49">
        <f>24+24+4.3</f>
        <v>52.3</v>
      </c>
      <c r="G14" s="49">
        <v>34.87</v>
      </c>
      <c r="H14" s="16">
        <f t="shared" si="1"/>
        <v>653.5</v>
      </c>
      <c r="I14" s="16">
        <f t="shared" si="1"/>
        <v>435.66999999999996</v>
      </c>
    </row>
    <row r="15" spans="1:9" ht="38.25">
      <c r="A15" s="15" t="s">
        <v>12</v>
      </c>
      <c r="B15" s="49">
        <f>252+86+498.6</f>
        <v>836.6</v>
      </c>
      <c r="C15" s="49">
        <v>357.7</v>
      </c>
      <c r="D15" s="49">
        <f>474.5+333.6+445.3</f>
        <v>1253.4</v>
      </c>
      <c r="E15" s="49">
        <f>257.9+340+289</f>
        <v>886.9</v>
      </c>
      <c r="F15" s="49">
        <f>41.5+17+24.9+26.6+3.4</f>
        <v>113.4</v>
      </c>
      <c r="G15" s="49">
        <v>75.6</v>
      </c>
      <c r="H15" s="16">
        <f t="shared" si="1"/>
        <v>2203.4</v>
      </c>
      <c r="I15" s="16">
        <f t="shared" si="1"/>
        <v>1320.1999999999998</v>
      </c>
    </row>
    <row r="16" spans="1:9" ht="12.75">
      <c r="A16" s="15" t="s">
        <v>13</v>
      </c>
      <c r="B16" s="49">
        <v>1778</v>
      </c>
      <c r="C16" s="49">
        <v>889</v>
      </c>
      <c r="D16" s="49">
        <v>658.5</v>
      </c>
      <c r="E16" s="49">
        <v>95.2</v>
      </c>
      <c r="F16" s="49">
        <v>0</v>
      </c>
      <c r="G16" s="49">
        <v>0</v>
      </c>
      <c r="H16" s="16">
        <f t="shared" si="1"/>
        <v>2436.5</v>
      </c>
      <c r="I16" s="16">
        <f t="shared" si="1"/>
        <v>984.2</v>
      </c>
    </row>
    <row r="17" spans="1:9" ht="25.5">
      <c r="A17" s="15" t="s">
        <v>18</v>
      </c>
      <c r="B17" s="49"/>
      <c r="C17" s="49"/>
      <c r="D17" s="49"/>
      <c r="E17" s="49"/>
      <c r="F17" s="49">
        <v>0</v>
      </c>
      <c r="G17" s="49">
        <v>0</v>
      </c>
      <c r="H17" s="16">
        <f t="shared" si="1"/>
        <v>0</v>
      </c>
      <c r="I17" s="16">
        <f t="shared" si="1"/>
        <v>0</v>
      </c>
    </row>
    <row r="18" spans="1:9" ht="12.75">
      <c r="A18" s="15" t="s">
        <v>14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16">
        <f t="shared" si="1"/>
        <v>0</v>
      </c>
      <c r="I18" s="16">
        <f t="shared" si="1"/>
        <v>0</v>
      </c>
    </row>
    <row r="19" spans="2:9" ht="12.75">
      <c r="B19" s="50">
        <f>B7-B11</f>
        <v>0</v>
      </c>
      <c r="C19" s="50">
        <f aca="true" t="shared" si="3" ref="C19:I19">C7-C11</f>
        <v>0</v>
      </c>
      <c r="D19" s="50">
        <f t="shared" si="3"/>
        <v>0</v>
      </c>
      <c r="E19" s="50">
        <f t="shared" si="3"/>
        <v>0</v>
      </c>
      <c r="F19" s="50">
        <f t="shared" si="3"/>
        <v>0</v>
      </c>
      <c r="G19" s="50">
        <f t="shared" si="3"/>
        <v>0</v>
      </c>
      <c r="H19" s="17">
        <f t="shared" si="3"/>
        <v>0</v>
      </c>
      <c r="I19" s="17">
        <f t="shared" si="3"/>
        <v>0</v>
      </c>
    </row>
    <row r="22" spans="1:9" ht="12.75">
      <c r="A22" s="51" t="s">
        <v>25</v>
      </c>
      <c r="B22" s="51"/>
      <c r="C22" s="51"/>
      <c r="D22" s="51"/>
      <c r="E22" s="51"/>
      <c r="F22" s="51"/>
      <c r="G22" s="51"/>
      <c r="H22" s="51"/>
      <c r="I22" s="51"/>
    </row>
    <row r="23" ht="12.75">
      <c r="A23" s="1" t="s">
        <v>37</v>
      </c>
    </row>
  </sheetData>
  <sheetProtection/>
  <mergeCells count="7">
    <mergeCell ref="A22:I22"/>
    <mergeCell ref="A2:I2"/>
    <mergeCell ref="A3:I3"/>
    <mergeCell ref="B5:C5"/>
    <mergeCell ref="D5:E5"/>
    <mergeCell ref="F5:G5"/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Шеменкова</cp:lastModifiedBy>
  <cp:lastPrinted>2018-07-23T08:36:44Z</cp:lastPrinted>
  <dcterms:created xsi:type="dcterms:W3CDTF">1996-10-08T23:32:33Z</dcterms:created>
  <dcterms:modified xsi:type="dcterms:W3CDTF">2018-07-24T09:20:26Z</dcterms:modified>
  <cp:category/>
  <cp:version/>
  <cp:contentType/>
  <cp:contentStatus/>
</cp:coreProperties>
</file>